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data.ucdenver.pvt\dept\SOM\MEDAD\MEDAD\Shared\DOM Admin\Chris B\Programmatic Research\"/>
    </mc:Choice>
  </mc:AlternateContent>
  <xr:revisionPtr revIDLastSave="0" documentId="13_ncr:1_{D84D065D-051E-445D-84DF-B9B150F8F066}" xr6:coauthVersionLast="47" xr6:coauthVersionMax="47" xr10:uidLastSave="{00000000-0000-0000-0000-000000000000}"/>
  <bookViews>
    <workbookView xWindow="-108" yWindow="-108" windowWidth="23256" windowHeight="12576" tabRatio="839" firstSheet="1" activeTab="1" xr2:uid="{00000000-000D-0000-FFFF-FFFF00000000}"/>
  </bookViews>
  <sheets>
    <sheet name="Summary" sheetId="13" state="hidden" r:id="rId1"/>
    <sheet name="Consolidated" sheetId="10" r:id="rId2"/>
    <sheet name="Project 1" sheetId="2" r:id="rId3"/>
    <sheet name="Project 2" sheetId="3" r:id="rId4"/>
    <sheet name="Project 3" sheetId="4" r:id="rId5"/>
    <sheet name="Core A" sheetId="5" r:id="rId6"/>
    <sheet name="Core B" sheetId="9" r:id="rId7"/>
    <sheet name="Subcontract" sheetId="16" r:id="rId8"/>
  </sheets>
  <definedNames>
    <definedName name="_xlnm.Print_Area" localSheetId="1">Consolidated!$A$1:$N$61</definedName>
    <definedName name="_xlnm.Print_Area" localSheetId="5">'Core A'!$A$1:$L$15</definedName>
    <definedName name="_xlnm.Print_Area" localSheetId="6">'Core B'!$A$1:$L$10</definedName>
    <definedName name="_xlnm.Print_Area" localSheetId="2">'Project 1'!$A$1:$L$20</definedName>
    <definedName name="_xlnm.Print_Area" localSheetId="3">'Project 2'!$A$1:$L$37</definedName>
    <definedName name="_xlnm.Print_Area" localSheetId="4">'Project 3'!$A$1:$L$44</definedName>
    <definedName name="_xlnm.Print_Area" localSheetId="7">Subcontract!$A$1:$L$10</definedName>
    <definedName name="_xlnm.Print_Area" localSheetId="0">Summary!$A$1:$G$36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9" l="1"/>
  <c r="K10" i="9"/>
  <c r="I10" i="9"/>
  <c r="G10" i="9"/>
  <c r="E10" i="9"/>
  <c r="D26" i="10"/>
  <c r="D28" i="10"/>
  <c r="D23" i="10"/>
  <c r="E23" i="10"/>
  <c r="F23" i="10"/>
  <c r="G23" i="10"/>
  <c r="H23" i="10"/>
  <c r="I23" i="10"/>
  <c r="J23" i="10"/>
  <c r="K23" i="10"/>
  <c r="L23" i="10"/>
  <c r="M23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H20" i="10"/>
  <c r="I20" i="10"/>
  <c r="J20" i="10"/>
  <c r="K20" i="10"/>
  <c r="L20" i="10"/>
  <c r="M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E17" i="10"/>
  <c r="F17" i="10"/>
  <c r="G17" i="10"/>
  <c r="H17" i="10"/>
  <c r="I17" i="10"/>
  <c r="J17" i="10"/>
  <c r="K17" i="10"/>
  <c r="L17" i="10"/>
  <c r="M17" i="10"/>
  <c r="D12" i="10"/>
  <c r="E12" i="10"/>
  <c r="F12" i="10"/>
  <c r="G12" i="10"/>
  <c r="H12" i="10"/>
  <c r="I12" i="10"/>
  <c r="J12" i="10"/>
  <c r="K12" i="10"/>
  <c r="L12" i="10"/>
  <c r="M12" i="10"/>
  <c r="D13" i="10"/>
  <c r="E13" i="10"/>
  <c r="F13" i="10"/>
  <c r="G13" i="10"/>
  <c r="H13" i="10"/>
  <c r="I13" i="10"/>
  <c r="J13" i="10"/>
  <c r="K13" i="10"/>
  <c r="L13" i="10"/>
  <c r="M13" i="10"/>
  <c r="D14" i="10"/>
  <c r="E14" i="10"/>
  <c r="F14" i="10"/>
  <c r="G14" i="10"/>
  <c r="H14" i="10"/>
  <c r="I14" i="10"/>
  <c r="J14" i="10"/>
  <c r="K14" i="10"/>
  <c r="L14" i="10"/>
  <c r="M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E11" i="10"/>
  <c r="F11" i="10"/>
  <c r="G11" i="10"/>
  <c r="H11" i="10"/>
  <c r="I11" i="10"/>
  <c r="J11" i="10"/>
  <c r="K11" i="10"/>
  <c r="L11" i="10"/>
  <c r="M11" i="10"/>
  <c r="D8" i="10"/>
  <c r="E8" i="10"/>
  <c r="F8" i="10"/>
  <c r="G8" i="10"/>
  <c r="H8" i="10"/>
  <c r="I8" i="10"/>
  <c r="J8" i="10"/>
  <c r="K8" i="10"/>
  <c r="L8" i="10"/>
  <c r="M8" i="10"/>
  <c r="D9" i="10"/>
  <c r="E9" i="10"/>
  <c r="F9" i="10"/>
  <c r="G9" i="10"/>
  <c r="H9" i="10"/>
  <c r="I9" i="10"/>
  <c r="J9" i="10"/>
  <c r="K9" i="10"/>
  <c r="L9" i="10"/>
  <c r="M9" i="10"/>
  <c r="D10" i="10"/>
  <c r="E10" i="10"/>
  <c r="F10" i="10"/>
  <c r="G10" i="10"/>
  <c r="H10" i="10"/>
  <c r="I10" i="10"/>
  <c r="J10" i="10"/>
  <c r="K10" i="10"/>
  <c r="L10" i="10"/>
  <c r="M10" i="10"/>
  <c r="E7" i="10"/>
  <c r="F7" i="10"/>
  <c r="G7" i="10"/>
  <c r="H7" i="10"/>
  <c r="I7" i="10"/>
  <c r="J7" i="10"/>
  <c r="K7" i="10"/>
  <c r="L7" i="10"/>
  <c r="M7" i="10"/>
  <c r="D6" i="10"/>
  <c r="E6" i="10"/>
  <c r="F6" i="10"/>
  <c r="G6" i="10"/>
  <c r="H6" i="10"/>
  <c r="I6" i="10"/>
  <c r="J6" i="10"/>
  <c r="K6" i="10"/>
  <c r="L6" i="10"/>
  <c r="M6" i="10"/>
  <c r="L47" i="10"/>
  <c r="J47" i="10"/>
  <c r="H47" i="10"/>
  <c r="F47" i="10"/>
  <c r="D47" i="10"/>
  <c r="L40" i="10"/>
  <c r="J40" i="10"/>
  <c r="H40" i="10"/>
  <c r="F40" i="10"/>
  <c r="D40" i="10"/>
  <c r="L39" i="10"/>
  <c r="J39" i="10"/>
  <c r="H39" i="10"/>
  <c r="F39" i="10"/>
  <c r="D39" i="10"/>
  <c r="D34" i="10"/>
  <c r="E23" i="16"/>
  <c r="L33" i="10"/>
  <c r="J33" i="10"/>
  <c r="H33" i="10"/>
  <c r="F33" i="10"/>
  <c r="D33" i="10"/>
  <c r="D32" i="10"/>
  <c r="L31" i="10"/>
  <c r="J31" i="10"/>
  <c r="H31" i="10"/>
  <c r="F31" i="10"/>
  <c r="D31" i="10"/>
  <c r="C25" i="10"/>
  <c r="C26" i="10"/>
  <c r="C27" i="10"/>
  <c r="C28" i="10"/>
  <c r="C24" i="10"/>
  <c r="B25" i="10"/>
  <c r="B26" i="10"/>
  <c r="B27" i="10"/>
  <c r="B28" i="10"/>
  <c r="B24" i="10"/>
  <c r="D17" i="10"/>
  <c r="C18" i="10"/>
  <c r="C19" i="10"/>
  <c r="C20" i="10"/>
  <c r="C21" i="10"/>
  <c r="C22" i="10"/>
  <c r="C23" i="10"/>
  <c r="C17" i="10"/>
  <c r="B18" i="10"/>
  <c r="B19" i="10"/>
  <c r="B20" i="10"/>
  <c r="B21" i="10"/>
  <c r="B22" i="10"/>
  <c r="B23" i="10"/>
  <c r="B17" i="10"/>
  <c r="D11" i="10"/>
  <c r="B12" i="10"/>
  <c r="C12" i="10"/>
  <c r="C13" i="10"/>
  <c r="C14" i="10"/>
  <c r="C15" i="10"/>
  <c r="C16" i="10"/>
  <c r="B13" i="10"/>
  <c r="B14" i="10"/>
  <c r="B15" i="10"/>
  <c r="B16" i="10"/>
  <c r="C11" i="10"/>
  <c r="B11" i="10"/>
  <c r="C10" i="10"/>
  <c r="B10" i="10"/>
  <c r="C9" i="10"/>
  <c r="B9" i="10"/>
  <c r="C8" i="10"/>
  <c r="B8" i="10"/>
  <c r="D7" i="10"/>
  <c r="C7" i="10"/>
  <c r="B7" i="10"/>
  <c r="C6" i="10"/>
  <c r="C5" i="10"/>
  <c r="C4" i="10"/>
  <c r="B6" i="10"/>
  <c r="F5" i="10"/>
  <c r="G5" i="10"/>
  <c r="H5" i="10"/>
  <c r="I5" i="10"/>
  <c r="J5" i="10"/>
  <c r="K5" i="10"/>
  <c r="L5" i="10"/>
  <c r="M5" i="10"/>
  <c r="E5" i="10"/>
  <c r="D5" i="10"/>
  <c r="B4" i="10"/>
  <c r="M4" i="10"/>
  <c r="K4" i="10"/>
  <c r="I4" i="10"/>
  <c r="G4" i="10"/>
  <c r="L4" i="10"/>
  <c r="J4" i="10"/>
  <c r="H4" i="10"/>
  <c r="F4" i="10"/>
  <c r="E4" i="10"/>
  <c r="D4" i="10"/>
  <c r="M27" i="3"/>
  <c r="K27" i="3"/>
  <c r="I27" i="3"/>
  <c r="G27" i="3"/>
  <c r="E27" i="3"/>
  <c r="E7" i="2"/>
  <c r="N4" i="10" l="1"/>
  <c r="N19" i="10"/>
  <c r="N22" i="10"/>
  <c r="N21" i="10"/>
  <c r="N20" i="10"/>
  <c r="N23" i="10"/>
  <c r="N11" i="10"/>
  <c r="O18" i="2"/>
  <c r="O17" i="2"/>
  <c r="M18" i="2"/>
  <c r="K18" i="2"/>
  <c r="I18" i="2"/>
  <c r="G18" i="2"/>
  <c r="E18" i="2"/>
  <c r="M17" i="2"/>
  <c r="K17" i="2"/>
  <c r="I17" i="2"/>
  <c r="G17" i="2"/>
  <c r="E17" i="2"/>
  <c r="M12" i="5"/>
  <c r="K12" i="5"/>
  <c r="I12" i="5"/>
  <c r="G12" i="5"/>
  <c r="E12" i="5"/>
  <c r="G16" i="5"/>
  <c r="I16" i="5"/>
  <c r="K16" i="5"/>
  <c r="M16" i="5"/>
  <c r="E16" i="5"/>
  <c r="O14" i="5"/>
  <c r="M17" i="3" l="1"/>
  <c r="O16" i="3"/>
  <c r="K17" i="3"/>
  <c r="I17" i="3"/>
  <c r="G17" i="3"/>
  <c r="E17" i="3"/>
  <c r="O14" i="3"/>
  <c r="F46" i="10" l="1"/>
  <c r="O18" i="3"/>
  <c r="D46" i="10"/>
  <c r="O21" i="3"/>
  <c r="O13" i="3"/>
  <c r="E9" i="3"/>
  <c r="G9" i="3" s="1"/>
  <c r="E8" i="3"/>
  <c r="F8" i="3" s="1"/>
  <c r="G8" i="3" l="1"/>
  <c r="F9" i="3"/>
  <c r="H9" i="3"/>
  <c r="I9" i="3"/>
  <c r="E23" i="3" l="1"/>
  <c r="G23" i="3"/>
  <c r="I8" i="3"/>
  <c r="H8" i="3"/>
  <c r="J9" i="3"/>
  <c r="K9" i="3"/>
  <c r="B9" i="13"/>
  <c r="F17" i="13"/>
  <c r="F16" i="13"/>
  <c r="F15" i="13"/>
  <c r="F8" i="13"/>
  <c r="F28" i="13" s="1"/>
  <c r="F7" i="13"/>
  <c r="F6" i="13"/>
  <c r="F5" i="13"/>
  <c r="F25" i="13" s="1"/>
  <c r="E5" i="13"/>
  <c r="E25" i="13" s="1"/>
  <c r="E6" i="13"/>
  <c r="E7" i="13"/>
  <c r="E8" i="13"/>
  <c r="E28" i="13" s="1"/>
  <c r="E15" i="13"/>
  <c r="E16" i="13"/>
  <c r="E17" i="13"/>
  <c r="G19" i="13"/>
  <c r="N61" i="10"/>
  <c r="L49" i="10"/>
  <c r="J49" i="10"/>
  <c r="H49" i="10"/>
  <c r="F49" i="10"/>
  <c r="D49" i="10"/>
  <c r="L48" i="10"/>
  <c r="J48" i="10"/>
  <c r="H48" i="10"/>
  <c r="F48" i="10"/>
  <c r="D48" i="10"/>
  <c r="L46" i="10"/>
  <c r="J46" i="10"/>
  <c r="H46" i="10"/>
  <c r="N47" i="10"/>
  <c r="L45" i="10"/>
  <c r="J45" i="10"/>
  <c r="H45" i="10"/>
  <c r="F45" i="10"/>
  <c r="D45" i="10"/>
  <c r="N40" i="10"/>
  <c r="N42" i="10"/>
  <c r="L38" i="10"/>
  <c r="J38" i="10"/>
  <c r="H38" i="10"/>
  <c r="F38" i="10"/>
  <c r="D38" i="10"/>
  <c r="N33" i="10"/>
  <c r="B5" i="10"/>
  <c r="J8" i="3" l="1"/>
  <c r="K8" i="3"/>
  <c r="N49" i="10"/>
  <c r="N38" i="10"/>
  <c r="N45" i="10"/>
  <c r="L9" i="3"/>
  <c r="M9" i="3"/>
  <c r="E27" i="13"/>
  <c r="E26" i="13"/>
  <c r="F26" i="13"/>
  <c r="F27" i="13"/>
  <c r="N46" i="10"/>
  <c r="N48" i="10"/>
  <c r="N39" i="10"/>
  <c r="L50" i="10"/>
  <c r="K23" i="3" l="1"/>
  <c r="M8" i="3"/>
  <c r="L8" i="3"/>
  <c r="N9" i="3"/>
  <c r="M23" i="3" l="1"/>
  <c r="I23" i="3"/>
  <c r="O23" i="3" s="1"/>
  <c r="O9" i="3"/>
  <c r="N8" i="3"/>
  <c r="E21" i="16"/>
  <c r="M21" i="16"/>
  <c r="K21" i="16"/>
  <c r="I21" i="16"/>
  <c r="G21" i="16"/>
  <c r="O20" i="16"/>
  <c r="O19" i="16"/>
  <c r="O18" i="16"/>
  <c r="E14" i="16"/>
  <c r="O13" i="16"/>
  <c r="E8" i="16"/>
  <c r="O15" i="16"/>
  <c r="M14" i="16"/>
  <c r="K14" i="16"/>
  <c r="I14" i="16"/>
  <c r="G14" i="16"/>
  <c r="O12" i="16"/>
  <c r="O11" i="16"/>
  <c r="E7" i="16"/>
  <c r="F7" i="16" s="1"/>
  <c r="E6" i="16"/>
  <c r="F6" i="16" s="1"/>
  <c r="K5" i="16"/>
  <c r="I5" i="16"/>
  <c r="G5" i="16"/>
  <c r="E5" i="16"/>
  <c r="G10" i="5"/>
  <c r="E9" i="5"/>
  <c r="E10" i="5"/>
  <c r="B7" i="5"/>
  <c r="K7" i="5" s="1"/>
  <c r="M22" i="5"/>
  <c r="L41" i="10" s="1"/>
  <c r="L43" i="10" s="1"/>
  <c r="K22" i="5"/>
  <c r="J41" i="10" s="1"/>
  <c r="I22" i="5"/>
  <c r="H41" i="10" s="1"/>
  <c r="G22" i="5"/>
  <c r="F41" i="10" s="1"/>
  <c r="E22" i="5"/>
  <c r="D41" i="10" s="1"/>
  <c r="O18" i="5"/>
  <c r="L34" i="10"/>
  <c r="F34" i="10"/>
  <c r="J34" i="10"/>
  <c r="O15" i="5"/>
  <c r="O16" i="5" s="1"/>
  <c r="K11" i="5"/>
  <c r="I11" i="5"/>
  <c r="G11" i="5"/>
  <c r="E11" i="5"/>
  <c r="K10" i="5"/>
  <c r="I10" i="5"/>
  <c r="K9" i="5"/>
  <c r="I9" i="5"/>
  <c r="G9" i="5"/>
  <c r="K8" i="5"/>
  <c r="M8" i="5" s="1"/>
  <c r="N8" i="5" s="1"/>
  <c r="I8" i="5"/>
  <c r="J8" i="5" s="1"/>
  <c r="G8" i="5"/>
  <c r="H8" i="5" s="1"/>
  <c r="E8" i="5"/>
  <c r="F8" i="5" s="1"/>
  <c r="K6" i="5"/>
  <c r="I6" i="5"/>
  <c r="G6" i="5"/>
  <c r="E6" i="5"/>
  <c r="K5" i="5"/>
  <c r="I5" i="5"/>
  <c r="G5" i="5"/>
  <c r="E5" i="5"/>
  <c r="O16" i="9"/>
  <c r="O17" i="9"/>
  <c r="O18" i="9"/>
  <c r="M14" i="9"/>
  <c r="M13" i="9"/>
  <c r="K14" i="9"/>
  <c r="K13" i="9"/>
  <c r="I14" i="9"/>
  <c r="I13" i="9"/>
  <c r="G14" i="9"/>
  <c r="G13" i="9"/>
  <c r="G19" i="9"/>
  <c r="F35" i="10" s="1"/>
  <c r="E19" i="9"/>
  <c r="D35" i="10" s="1"/>
  <c r="G7" i="9"/>
  <c r="F26" i="10" s="1"/>
  <c r="K6" i="9"/>
  <c r="K7" i="9"/>
  <c r="J26" i="10" s="1"/>
  <c r="K8" i="9"/>
  <c r="J27" i="10" s="1"/>
  <c r="K9" i="9"/>
  <c r="J28" i="10" s="1"/>
  <c r="I6" i="9"/>
  <c r="I7" i="9"/>
  <c r="H26" i="10" s="1"/>
  <c r="I8" i="9"/>
  <c r="H27" i="10" s="1"/>
  <c r="I9" i="9"/>
  <c r="H28" i="10" s="1"/>
  <c r="G6" i="9"/>
  <c r="G8" i="9"/>
  <c r="F27" i="10" s="1"/>
  <c r="G9" i="9"/>
  <c r="F28" i="10" s="1"/>
  <c r="F7" i="9"/>
  <c r="E26" i="10" s="1"/>
  <c r="F9" i="9"/>
  <c r="E28" i="10" s="1"/>
  <c r="E8" i="9"/>
  <c r="D27" i="10" s="1"/>
  <c r="H6" i="9" l="1"/>
  <c r="G25" i="10" s="1"/>
  <c r="F25" i="10"/>
  <c r="J6" i="9"/>
  <c r="I25" i="10" s="1"/>
  <c r="H25" i="10"/>
  <c r="L6" i="9"/>
  <c r="K25" i="10" s="1"/>
  <c r="J25" i="10"/>
  <c r="O21" i="16"/>
  <c r="M6" i="5"/>
  <c r="M10" i="5"/>
  <c r="F5" i="16"/>
  <c r="E9" i="16" s="1"/>
  <c r="H8" i="9"/>
  <c r="G27" i="10" s="1"/>
  <c r="L11" i="5"/>
  <c r="L7" i="5"/>
  <c r="E7" i="5"/>
  <c r="J9" i="5"/>
  <c r="F11" i="5"/>
  <c r="F10" i="5"/>
  <c r="J8" i="9"/>
  <c r="I27" i="10" s="1"/>
  <c r="M7" i="9"/>
  <c r="L26" i="10" s="1"/>
  <c r="H5" i="5"/>
  <c r="H6" i="5"/>
  <c r="G7" i="5"/>
  <c r="M9" i="5"/>
  <c r="H11" i="5"/>
  <c r="F9" i="5"/>
  <c r="M5" i="5"/>
  <c r="H9" i="5"/>
  <c r="L8" i="9"/>
  <c r="K27" i="10" s="1"/>
  <c r="H5" i="16"/>
  <c r="F8" i="9"/>
  <c r="E27" i="10" s="1"/>
  <c r="J7" i="9"/>
  <c r="I26" i="10" s="1"/>
  <c r="H7" i="9"/>
  <c r="G26" i="10" s="1"/>
  <c r="J5" i="5"/>
  <c r="J6" i="5"/>
  <c r="I7" i="5"/>
  <c r="J10" i="5"/>
  <c r="J11" i="5"/>
  <c r="N41" i="10"/>
  <c r="H10" i="5"/>
  <c r="M5" i="16"/>
  <c r="O8" i="3"/>
  <c r="L9" i="9"/>
  <c r="J9" i="9"/>
  <c r="G6" i="16"/>
  <c r="I6" i="16" s="1"/>
  <c r="J6" i="16" s="1"/>
  <c r="F8" i="16"/>
  <c r="G7" i="16"/>
  <c r="I7" i="16" s="1"/>
  <c r="K7" i="16" s="1"/>
  <c r="O14" i="16"/>
  <c r="G8" i="16"/>
  <c r="J5" i="16"/>
  <c r="L5" i="16"/>
  <c r="M7" i="5"/>
  <c r="L6" i="5"/>
  <c r="O22" i="5"/>
  <c r="L9" i="5"/>
  <c r="F6" i="5"/>
  <c r="L8" i="5"/>
  <c r="L10" i="5"/>
  <c r="M11" i="5"/>
  <c r="O21" i="5"/>
  <c r="L5" i="5"/>
  <c r="F5" i="5"/>
  <c r="L7" i="9"/>
  <c r="K26" i="10" s="1"/>
  <c r="M9" i="9"/>
  <c r="L28" i="10" s="1"/>
  <c r="M8" i="9"/>
  <c r="L27" i="10" s="1"/>
  <c r="H9" i="9"/>
  <c r="G28" i="10" s="1"/>
  <c r="M6" i="9"/>
  <c r="E18" i="13" l="1"/>
  <c r="I28" i="10"/>
  <c r="N6" i="9"/>
  <c r="M25" i="10" s="1"/>
  <c r="L25" i="10"/>
  <c r="F18" i="13"/>
  <c r="K28" i="10"/>
  <c r="H6" i="16"/>
  <c r="K6" i="16"/>
  <c r="L6" i="16" s="1"/>
  <c r="F7" i="5"/>
  <c r="J7" i="5"/>
  <c r="N7" i="9"/>
  <c r="M26" i="10" s="1"/>
  <c r="N26" i="10" s="1"/>
  <c r="N18" i="10"/>
  <c r="N8" i="9"/>
  <c r="M27" i="10" s="1"/>
  <c r="N27" i="10" s="1"/>
  <c r="N11" i="5"/>
  <c r="N7" i="5"/>
  <c r="N9" i="5"/>
  <c r="N6" i="5"/>
  <c r="H34" i="10"/>
  <c r="N34" i="10" s="1"/>
  <c r="O7" i="9"/>
  <c r="N5" i="5"/>
  <c r="O5" i="5" s="1"/>
  <c r="H7" i="5"/>
  <c r="D9" i="13"/>
  <c r="E9" i="13"/>
  <c r="E29" i="13" s="1"/>
  <c r="N5" i="16"/>
  <c r="O5" i="16" s="1"/>
  <c r="N10" i="5"/>
  <c r="F9" i="13"/>
  <c r="F29" i="13" s="1"/>
  <c r="N9" i="9"/>
  <c r="M28" i="10" s="1"/>
  <c r="J7" i="16"/>
  <c r="H7" i="16"/>
  <c r="G9" i="16" s="1"/>
  <c r="H8" i="16"/>
  <c r="I8" i="16"/>
  <c r="L7" i="16"/>
  <c r="M7" i="16"/>
  <c r="N7" i="16" s="1"/>
  <c r="K24" i="5"/>
  <c r="O8" i="5"/>
  <c r="N28" i="10" l="1"/>
  <c r="M6" i="16"/>
  <c r="O9" i="9"/>
  <c r="K25" i="5"/>
  <c r="K26" i="5" s="1"/>
  <c r="K27" i="5" s="1"/>
  <c r="O9" i="5"/>
  <c r="O8" i="9"/>
  <c r="G23" i="16"/>
  <c r="O11" i="5"/>
  <c r="I24" i="5"/>
  <c r="M24" i="5"/>
  <c r="N7" i="10"/>
  <c r="N9" i="10"/>
  <c r="G24" i="5"/>
  <c r="N8" i="10"/>
  <c r="O10" i="5"/>
  <c r="O7" i="5"/>
  <c r="O6" i="5"/>
  <c r="K8" i="16"/>
  <c r="J8" i="16"/>
  <c r="I9" i="16" s="1"/>
  <c r="O7" i="16"/>
  <c r="N6" i="16"/>
  <c r="E24" i="5"/>
  <c r="E25" i="5" s="1"/>
  <c r="M25" i="5" l="1"/>
  <c r="M26" i="5" s="1"/>
  <c r="M27" i="5" s="1"/>
  <c r="I26" i="5"/>
  <c r="I27" i="5" s="1"/>
  <c r="I25" i="5"/>
  <c r="G25" i="5"/>
  <c r="G26" i="5" s="1"/>
  <c r="G27" i="5" s="1"/>
  <c r="O12" i="5"/>
  <c r="O6" i="16"/>
  <c r="M8" i="16"/>
  <c r="L8" i="16"/>
  <c r="K9" i="16" s="1"/>
  <c r="G24" i="16"/>
  <c r="G25" i="16" s="1"/>
  <c r="G26" i="16" s="1"/>
  <c r="E24" i="16"/>
  <c r="O24" i="5"/>
  <c r="N8" i="16" l="1"/>
  <c r="M9" i="16" s="1"/>
  <c r="F52" i="10"/>
  <c r="G23" i="9"/>
  <c r="G26" i="9" s="1"/>
  <c r="I23" i="16"/>
  <c r="I24" i="16" s="1"/>
  <c r="I25" i="16" s="1"/>
  <c r="I26" i="16" s="1"/>
  <c r="O8" i="16"/>
  <c r="E25" i="16"/>
  <c r="O25" i="5"/>
  <c r="E26" i="5"/>
  <c r="H52" i="10" l="1"/>
  <c r="I23" i="9"/>
  <c r="I26" i="9" s="1"/>
  <c r="M23" i="16"/>
  <c r="K23" i="16"/>
  <c r="K24" i="16" s="1"/>
  <c r="K25" i="16" s="1"/>
  <c r="K26" i="16" s="1"/>
  <c r="E26" i="16"/>
  <c r="O26" i="5"/>
  <c r="O27" i="5" s="1"/>
  <c r="E27" i="5"/>
  <c r="J52" i="10" l="1"/>
  <c r="K23" i="9"/>
  <c r="K26" i="9" s="1"/>
  <c r="D52" i="10"/>
  <c r="E23" i="9"/>
  <c r="O9" i="16"/>
  <c r="M24" i="16"/>
  <c r="O23" i="16"/>
  <c r="O25" i="9"/>
  <c r="O21" i="9"/>
  <c r="M19" i="9"/>
  <c r="L35" i="10" s="1"/>
  <c r="K19" i="9"/>
  <c r="J35" i="10" s="1"/>
  <c r="I19" i="9"/>
  <c r="H35" i="10" s="1"/>
  <c r="O15" i="9"/>
  <c r="O14" i="9"/>
  <c r="O13" i="9"/>
  <c r="O12" i="9"/>
  <c r="E6" i="9"/>
  <c r="D25" i="10" s="1"/>
  <c r="K5" i="9"/>
  <c r="I5" i="9"/>
  <c r="G5" i="9"/>
  <c r="E5" i="9"/>
  <c r="O13" i="4"/>
  <c r="O14" i="4"/>
  <c r="O15" i="4"/>
  <c r="O16" i="4"/>
  <c r="O24" i="4"/>
  <c r="O25" i="4"/>
  <c r="O26" i="4"/>
  <c r="O27" i="4"/>
  <c r="O23" i="4"/>
  <c r="O20" i="4"/>
  <c r="M28" i="4"/>
  <c r="K28" i="4"/>
  <c r="I28" i="4"/>
  <c r="G28" i="4"/>
  <c r="E28" i="4"/>
  <c r="E7" i="4"/>
  <c r="E8" i="4"/>
  <c r="F8" i="4" s="1"/>
  <c r="E9" i="4"/>
  <c r="G9" i="4" s="1"/>
  <c r="H9" i="4" s="1"/>
  <c r="J24" i="10" l="1"/>
  <c r="F24" i="10"/>
  <c r="H24" i="10"/>
  <c r="D24" i="10"/>
  <c r="E26" i="9"/>
  <c r="O28" i="4"/>
  <c r="F7" i="4"/>
  <c r="N35" i="10"/>
  <c r="M25" i="16"/>
  <c r="M26" i="16" s="1"/>
  <c r="M23" i="9" s="1"/>
  <c r="M26" i="9" s="1"/>
  <c r="O24" i="16"/>
  <c r="J5" i="9"/>
  <c r="I24" i="10" s="1"/>
  <c r="F5" i="9"/>
  <c r="E24" i="10" s="1"/>
  <c r="F6" i="9"/>
  <c r="O19" i="9"/>
  <c r="H5" i="9"/>
  <c r="G24" i="10" s="1"/>
  <c r="M5" i="9"/>
  <c r="L5" i="9"/>
  <c r="K24" i="10" s="1"/>
  <c r="F9" i="4"/>
  <c r="G8" i="4"/>
  <c r="G7" i="4"/>
  <c r="I9" i="4"/>
  <c r="O6" i="9" l="1"/>
  <c r="E25" i="10"/>
  <c r="N25" i="10" s="1"/>
  <c r="J29" i="10"/>
  <c r="F29" i="10"/>
  <c r="L24" i="10"/>
  <c r="H29" i="10"/>
  <c r="O23" i="9"/>
  <c r="C9" i="13"/>
  <c r="G9" i="13" s="1"/>
  <c r="O25" i="16"/>
  <c r="O26" i="16" s="1"/>
  <c r="L52" i="10"/>
  <c r="N5" i="9"/>
  <c r="M24" i="10" s="1"/>
  <c r="N24" i="10" s="1"/>
  <c r="I8" i="4"/>
  <c r="H8" i="4"/>
  <c r="J9" i="4"/>
  <c r="K9" i="4"/>
  <c r="H7" i="4"/>
  <c r="I7" i="4"/>
  <c r="L29" i="10" l="1"/>
  <c r="D29" i="10"/>
  <c r="N29" i="10" s="1"/>
  <c r="O5" i="9"/>
  <c r="N10" i="10"/>
  <c r="L53" i="10"/>
  <c r="N52" i="10"/>
  <c r="O10" i="9"/>
  <c r="G28" i="9"/>
  <c r="E28" i="9"/>
  <c r="E29" i="9" s="1"/>
  <c r="J8" i="4"/>
  <c r="K8" i="4"/>
  <c r="J7" i="4"/>
  <c r="K7" i="4"/>
  <c r="L9" i="4"/>
  <c r="M9" i="4"/>
  <c r="N9" i="4" s="1"/>
  <c r="G29" i="9" l="1"/>
  <c r="G30" i="9" s="1"/>
  <c r="G31" i="9" s="1"/>
  <c r="E30" i="9"/>
  <c r="I28" i="9"/>
  <c r="M8" i="4"/>
  <c r="N8" i="4" s="1"/>
  <c r="L8" i="4"/>
  <c r="O8" i="4" s="1"/>
  <c r="O9" i="4"/>
  <c r="L7" i="4"/>
  <c r="M7" i="4"/>
  <c r="I29" i="9" l="1"/>
  <c r="I30" i="9" s="1"/>
  <c r="I31" i="9" s="1"/>
  <c r="K28" i="9"/>
  <c r="N7" i="4"/>
  <c r="K29" i="9" l="1"/>
  <c r="K30" i="9" s="1"/>
  <c r="O7" i="4"/>
  <c r="O24" i="9"/>
  <c r="O26" i="9"/>
  <c r="M28" i="9"/>
  <c r="M29" i="9" s="1"/>
  <c r="E31" i="9"/>
  <c r="M18" i="4"/>
  <c r="K18" i="4"/>
  <c r="I18" i="4"/>
  <c r="G18" i="4"/>
  <c r="E18" i="4"/>
  <c r="O17" i="4"/>
  <c r="E10" i="4"/>
  <c r="F10" i="4" s="1"/>
  <c r="E6" i="4"/>
  <c r="F6" i="4" s="1"/>
  <c r="K5" i="4"/>
  <c r="I5" i="4"/>
  <c r="G5" i="4"/>
  <c r="E5" i="4"/>
  <c r="O25" i="3"/>
  <c r="L32" i="10"/>
  <c r="J32" i="10"/>
  <c r="H32" i="10"/>
  <c r="F32" i="10"/>
  <c r="O15" i="3"/>
  <c r="O12" i="3"/>
  <c r="E7" i="3"/>
  <c r="E6" i="3"/>
  <c r="K5" i="3"/>
  <c r="I5" i="3"/>
  <c r="G5" i="3"/>
  <c r="E5" i="3"/>
  <c r="O15" i="2"/>
  <c r="O14" i="2"/>
  <c r="O10" i="2"/>
  <c r="O11" i="2"/>
  <c r="O9" i="2"/>
  <c r="M12" i="2"/>
  <c r="K12" i="2"/>
  <c r="I12" i="2"/>
  <c r="G12" i="2"/>
  <c r="E12" i="2"/>
  <c r="E6" i="2"/>
  <c r="K5" i="2"/>
  <c r="I5" i="2"/>
  <c r="G5" i="2"/>
  <c r="E5" i="2"/>
  <c r="L36" i="10" l="1"/>
  <c r="M5" i="2"/>
  <c r="M5" i="3"/>
  <c r="J5" i="2"/>
  <c r="H5" i="2"/>
  <c r="N31" i="10"/>
  <c r="F7" i="3"/>
  <c r="H5" i="3"/>
  <c r="G6" i="3"/>
  <c r="N32" i="10"/>
  <c r="O28" i="9"/>
  <c r="M30" i="9"/>
  <c r="M31" i="9" s="1"/>
  <c r="M5" i="4"/>
  <c r="H5" i="4"/>
  <c r="G10" i="4"/>
  <c r="I10" i="4" s="1"/>
  <c r="J10" i="4" s="1"/>
  <c r="O18" i="4"/>
  <c r="F5" i="4"/>
  <c r="E11" i="4" s="1"/>
  <c r="E30" i="4" s="1"/>
  <c r="J5" i="4"/>
  <c r="G6" i="4"/>
  <c r="L5" i="4"/>
  <c r="O17" i="3"/>
  <c r="G7" i="3"/>
  <c r="H7" i="3" s="1"/>
  <c r="F6" i="3"/>
  <c r="F5" i="3"/>
  <c r="J5" i="3"/>
  <c r="N5" i="3"/>
  <c r="L5" i="3"/>
  <c r="O12" i="2"/>
  <c r="F5" i="2"/>
  <c r="F6" i="2"/>
  <c r="L5" i="2"/>
  <c r="G6" i="2"/>
  <c r="E10" i="3" l="1"/>
  <c r="N5" i="2"/>
  <c r="I6" i="3"/>
  <c r="H6" i="3"/>
  <c r="I7" i="3"/>
  <c r="E26" i="3"/>
  <c r="O29" i="9"/>
  <c r="O30" i="9"/>
  <c r="O31" i="9" s="1"/>
  <c r="K31" i="9"/>
  <c r="H10" i="4"/>
  <c r="K10" i="4"/>
  <c r="M10" i="4" s="1"/>
  <c r="N10" i="4" s="1"/>
  <c r="N5" i="4"/>
  <c r="O5" i="4" s="1"/>
  <c r="I6" i="4"/>
  <c r="H6" i="4"/>
  <c r="O5" i="3"/>
  <c r="I6" i="2"/>
  <c r="H6" i="2"/>
  <c r="G7" i="2" s="1"/>
  <c r="N17" i="10"/>
  <c r="N15" i="10"/>
  <c r="N14" i="10"/>
  <c r="G11" i="4" l="1"/>
  <c r="G30" i="4" s="1"/>
  <c r="O5" i="2"/>
  <c r="N5" i="10"/>
  <c r="G10" i="3"/>
  <c r="G26" i="3" s="1"/>
  <c r="J7" i="3"/>
  <c r="K7" i="3"/>
  <c r="K6" i="3"/>
  <c r="J6" i="3"/>
  <c r="L10" i="4"/>
  <c r="O10" i="4" s="1"/>
  <c r="E31" i="4"/>
  <c r="E32" i="4" s="1"/>
  <c r="J6" i="4"/>
  <c r="I11" i="4" s="1"/>
  <c r="I30" i="4" s="1"/>
  <c r="K6" i="4"/>
  <c r="E28" i="3"/>
  <c r="K6" i="2"/>
  <c r="J6" i="2"/>
  <c r="D50" i="10"/>
  <c r="D43" i="10"/>
  <c r="H50" i="10"/>
  <c r="J50" i="10"/>
  <c r="F50" i="10"/>
  <c r="I10" i="3" l="1"/>
  <c r="L7" i="3"/>
  <c r="M7" i="3"/>
  <c r="M6" i="3"/>
  <c r="L6" i="3"/>
  <c r="G28" i="3"/>
  <c r="G29" i="3" s="1"/>
  <c r="N50" i="10"/>
  <c r="M6" i="4"/>
  <c r="L6" i="4"/>
  <c r="K11" i="4" s="1"/>
  <c r="K30" i="4" s="1"/>
  <c r="I7" i="2"/>
  <c r="L6" i="2"/>
  <c r="M6" i="2"/>
  <c r="E19" i="2"/>
  <c r="F43" i="10"/>
  <c r="K10" i="3" l="1"/>
  <c r="K7" i="2"/>
  <c r="N6" i="3"/>
  <c r="N7" i="3"/>
  <c r="O6" i="3"/>
  <c r="K26" i="3"/>
  <c r="I26" i="3"/>
  <c r="G19" i="2"/>
  <c r="G20" i="2" s="1"/>
  <c r="G31" i="4"/>
  <c r="G32" i="4" s="1"/>
  <c r="N6" i="4"/>
  <c r="I31" i="4"/>
  <c r="E33" i="4"/>
  <c r="E29" i="3"/>
  <c r="N6" i="2"/>
  <c r="D36" i="10"/>
  <c r="F36" i="10"/>
  <c r="J43" i="10"/>
  <c r="C15" i="13"/>
  <c r="B7" i="13"/>
  <c r="I32" i="4" l="1"/>
  <c r="K28" i="3"/>
  <c r="F4" i="13"/>
  <c r="I19" i="2"/>
  <c r="I20" i="2" s="1"/>
  <c r="M7" i="2"/>
  <c r="N13" i="10"/>
  <c r="M10" i="3"/>
  <c r="M26" i="3" s="1"/>
  <c r="O7" i="3"/>
  <c r="N6" i="10"/>
  <c r="N12" i="10"/>
  <c r="I28" i="3"/>
  <c r="I29" i="3" s="1"/>
  <c r="O6" i="2"/>
  <c r="M11" i="4"/>
  <c r="M30" i="4" s="1"/>
  <c r="O30" i="4" s="1"/>
  <c r="O6" i="4"/>
  <c r="K31" i="4"/>
  <c r="E20" i="2"/>
  <c r="H43" i="10"/>
  <c r="N43" i="10" s="1"/>
  <c r="B17" i="13"/>
  <c r="N16" i="10"/>
  <c r="B18" i="13"/>
  <c r="C5" i="13"/>
  <c r="C25" i="13" s="1"/>
  <c r="C18" i="13"/>
  <c r="J36" i="10"/>
  <c r="C16" i="13"/>
  <c r="C6" i="13"/>
  <c r="B5" i="13"/>
  <c r="G5" i="13" s="1"/>
  <c r="K32" i="4" l="1"/>
  <c r="K33" i="4" s="1"/>
  <c r="I33" i="4"/>
  <c r="O26" i="3"/>
  <c r="M28" i="3"/>
  <c r="M29" i="3" s="1"/>
  <c r="F14" i="13"/>
  <c r="F20" i="13" s="1"/>
  <c r="L54" i="10"/>
  <c r="L55" i="10" s="1"/>
  <c r="L62" i="10" s="1"/>
  <c r="O7" i="2"/>
  <c r="F10" i="13"/>
  <c r="F24" i="13"/>
  <c r="F30" i="13" s="1"/>
  <c r="O10" i="3"/>
  <c r="B27" i="13"/>
  <c r="B29" i="13"/>
  <c r="M19" i="2"/>
  <c r="M20" i="2" s="1"/>
  <c r="O11" i="4"/>
  <c r="M31" i="4"/>
  <c r="G33" i="4"/>
  <c r="K29" i="3"/>
  <c r="K19" i="2"/>
  <c r="B4" i="13"/>
  <c r="G4" i="13" s="1"/>
  <c r="G10" i="13" s="1"/>
  <c r="C7" i="13"/>
  <c r="C29" i="13"/>
  <c r="B15" i="13"/>
  <c r="D5" i="13"/>
  <c r="H36" i="10"/>
  <c r="N36" i="10" s="1"/>
  <c r="B14" i="13"/>
  <c r="D6" i="13"/>
  <c r="D16" i="13"/>
  <c r="C26" i="13"/>
  <c r="B6" i="13"/>
  <c r="M32" i="4" l="1"/>
  <c r="O32" i="4" s="1"/>
  <c r="O33" i="4" s="1"/>
  <c r="E14" i="13"/>
  <c r="E20" i="13" s="1"/>
  <c r="E4" i="13"/>
  <c r="F36" i="13"/>
  <c r="F35" i="13"/>
  <c r="L56" i="10"/>
  <c r="L58" i="10" s="1"/>
  <c r="L59" i="10" s="1"/>
  <c r="O27" i="3"/>
  <c r="O28" i="3" s="1"/>
  <c r="O29" i="3" s="1"/>
  <c r="G6" i="13"/>
  <c r="B25" i="13"/>
  <c r="G25" i="13" s="1"/>
  <c r="O31" i="4"/>
  <c r="C4" i="13"/>
  <c r="C24" i="13" s="1"/>
  <c r="D15" i="13"/>
  <c r="G15" i="13" s="1"/>
  <c r="D26" i="13"/>
  <c r="C8" i="13"/>
  <c r="F53" i="10"/>
  <c r="F54" i="10" s="1"/>
  <c r="B16" i="13"/>
  <c r="D4" i="13"/>
  <c r="D25" i="13"/>
  <c r="B24" i="13"/>
  <c r="G24" i="13" s="1"/>
  <c r="B8" i="13"/>
  <c r="C17" i="13"/>
  <c r="M33" i="4" l="1"/>
  <c r="E10" i="13"/>
  <c r="E24" i="13"/>
  <c r="E30" i="13" s="1"/>
  <c r="F56" i="10"/>
  <c r="F58" i="10" s="1"/>
  <c r="F59" i="10" s="1"/>
  <c r="F55" i="10"/>
  <c r="F62" i="10" s="1"/>
  <c r="B20" i="13"/>
  <c r="G16" i="13"/>
  <c r="C27" i="13"/>
  <c r="B10" i="13"/>
  <c r="G8" i="13"/>
  <c r="B26" i="13"/>
  <c r="G26" i="13" s="1"/>
  <c r="O19" i="2"/>
  <c r="O20" i="2" s="1"/>
  <c r="K20" i="2"/>
  <c r="J53" i="10"/>
  <c r="H53" i="10"/>
  <c r="D8" i="13"/>
  <c r="D28" i="13" s="1"/>
  <c r="D18" i="13"/>
  <c r="G18" i="13" s="1"/>
  <c r="D14" i="13"/>
  <c r="D24" i="13" s="1"/>
  <c r="D7" i="13"/>
  <c r="G7" i="13" s="1"/>
  <c r="D53" i="10"/>
  <c r="B28" i="13"/>
  <c r="G28" i="13" s="1"/>
  <c r="C28" i="13"/>
  <c r="C30" i="13" s="1"/>
  <c r="C10" i="13"/>
  <c r="E35" i="13" l="1"/>
  <c r="E36" i="13"/>
  <c r="J54" i="10"/>
  <c r="H54" i="10"/>
  <c r="N53" i="10"/>
  <c r="C14" i="13"/>
  <c r="D10" i="13"/>
  <c r="C35" i="13"/>
  <c r="C36" i="13"/>
  <c r="D17" i="13"/>
  <c r="G17" i="13" s="1"/>
  <c r="D29" i="13"/>
  <c r="G29" i="13" s="1"/>
  <c r="B30" i="13"/>
  <c r="G30" i="13" s="1"/>
  <c r="J56" i="10" l="1"/>
  <c r="J58" i="10" s="1"/>
  <c r="J59" i="10" s="1"/>
  <c r="J55" i="10"/>
  <c r="J62" i="10" s="1"/>
  <c r="H56" i="10"/>
  <c r="H58" i="10" s="1"/>
  <c r="H59" i="10" s="1"/>
  <c r="H55" i="10"/>
  <c r="H62" i="10" s="1"/>
  <c r="C20" i="13"/>
  <c r="G14" i="13"/>
  <c r="G35" i="13"/>
  <c r="G36" i="13" s="1"/>
  <c r="G32" i="13"/>
  <c r="D20" i="13"/>
  <c r="D27" i="13"/>
  <c r="G27" i="13" s="1"/>
  <c r="B35" i="13"/>
  <c r="B36" i="13"/>
  <c r="G20" i="13" l="1"/>
  <c r="D30" i="13"/>
  <c r="D35" i="13" l="1"/>
  <c r="D36" i="13"/>
  <c r="D54" i="10"/>
  <c r="D56" i="10" s="1"/>
  <c r="D58" i="10" l="1"/>
  <c r="N58" i="10" s="1"/>
  <c r="N56" i="10"/>
  <c r="N54" i="10"/>
  <c r="D55" i="10"/>
  <c r="D59" i="10" l="1"/>
  <c r="D62" i="10"/>
  <c r="N62" i="10" s="1"/>
  <c r="N55" i="10"/>
  <c r="N59" i="10" l="1"/>
  <c r="B38" i="13"/>
</calcChain>
</file>

<file path=xl/sharedStrings.xml><?xml version="1.0" encoding="utf-8"?>
<sst xmlns="http://schemas.openxmlformats.org/spreadsheetml/2006/main" count="346" uniqueCount="125">
  <si>
    <t>Year 1</t>
  </si>
  <si>
    <t>Year 2</t>
  </si>
  <si>
    <t>Year 3</t>
  </si>
  <si>
    <t>Year 4</t>
  </si>
  <si>
    <t>Personnel</t>
  </si>
  <si>
    <t>Effort</t>
  </si>
  <si>
    <t>Fringe</t>
  </si>
  <si>
    <t>7/1/17-6/30/18</t>
  </si>
  <si>
    <t>7/1/18-6/30/19</t>
  </si>
  <si>
    <t>7/1/19-6/30/20</t>
  </si>
  <si>
    <t>7/1/20-6/30/21</t>
  </si>
  <si>
    <t>Total</t>
  </si>
  <si>
    <t>Total Sal/Ben</t>
  </si>
  <si>
    <t>Supplies</t>
  </si>
  <si>
    <t>Total Supplies</t>
  </si>
  <si>
    <t>Total Direct Costs</t>
  </si>
  <si>
    <t>Total Costs</t>
  </si>
  <si>
    <t>Tissue culture supplies</t>
  </si>
  <si>
    <t>Molecular biology reagents</t>
  </si>
  <si>
    <t>Travel</t>
  </si>
  <si>
    <t>Direct Costs</t>
  </si>
  <si>
    <t>Project 1</t>
  </si>
  <si>
    <t>Project 2</t>
  </si>
  <si>
    <t>Project 3</t>
  </si>
  <si>
    <t>Subcontracts</t>
  </si>
  <si>
    <t>Total Travel</t>
  </si>
  <si>
    <t>Total Subcontracts</t>
  </si>
  <si>
    <t>Total UCD Direct Costs</t>
  </si>
  <si>
    <t>MTDC</t>
  </si>
  <si>
    <t>F&amp;A @ 55.5%</t>
  </si>
  <si>
    <t>Total Indirect Costs</t>
  </si>
  <si>
    <t>Consolidated Budget</t>
  </si>
  <si>
    <t>Indirect Costs</t>
  </si>
  <si>
    <t>Allowable</t>
  </si>
  <si>
    <t>Under/-Over</t>
  </si>
  <si>
    <t>General Supplies</t>
  </si>
  <si>
    <t>Summary</t>
  </si>
  <si>
    <t>Variance</t>
  </si>
  <si>
    <t>Proposed Budget</t>
  </si>
  <si>
    <t>Revised Budget</t>
  </si>
  <si>
    <t>Sal</t>
  </si>
  <si>
    <t>4/1/22-3/31/23</t>
  </si>
  <si>
    <t>Year 5</t>
  </si>
  <si>
    <t>Sequencing</t>
  </si>
  <si>
    <t>Publications</t>
  </si>
  <si>
    <t>IDC Base</t>
  </si>
  <si>
    <t>IDC (64%)</t>
  </si>
  <si>
    <t xml:space="preserve">   Mouse husbandry/reagents</t>
  </si>
  <si>
    <t>Facility and user fees</t>
  </si>
  <si>
    <t>IDC (55.5%)</t>
  </si>
  <si>
    <t>Project 3 - Riches</t>
  </si>
  <si>
    <t>Disposable plastics and glassware</t>
  </si>
  <si>
    <t>Chemical reagents</t>
  </si>
  <si>
    <t>Protein analysis</t>
  </si>
  <si>
    <t>AAV costs</t>
  </si>
  <si>
    <t>Animal costs</t>
  </si>
  <si>
    <t>Other Expenses</t>
  </si>
  <si>
    <t>Publication costs</t>
  </si>
  <si>
    <t>Microscopy</t>
  </si>
  <si>
    <t>Flow cytometry</t>
  </si>
  <si>
    <t>Histology</t>
  </si>
  <si>
    <t>Maintenance costs</t>
  </si>
  <si>
    <t>Total Other Expenses</t>
  </si>
  <si>
    <t>Core B - Yang</t>
  </si>
  <si>
    <t>Cell culture supplies</t>
  </si>
  <si>
    <t>scRNA-seq library prep, 120 samples</t>
  </si>
  <si>
    <t>$1750 per sample</t>
  </si>
  <si>
    <t>scRNA-seq sequencing, 120 samples</t>
  </si>
  <si>
    <t>$1250 per sample</t>
  </si>
  <si>
    <t>Frozen tissue cutting, histology core</t>
  </si>
  <si>
    <t>RNAScope supplies</t>
  </si>
  <si>
    <t>$20k for 24plex; $35k for 48plex</t>
  </si>
  <si>
    <t>Immunohistochemistry supplies</t>
  </si>
  <si>
    <t>Consortia - NJH</t>
  </si>
  <si>
    <t>Total Consortia</t>
  </si>
  <si>
    <t>Core A - Lee</t>
  </si>
  <si>
    <t>Lab supplies</t>
  </si>
  <si>
    <t>Consultant</t>
  </si>
  <si>
    <t>Core A</t>
  </si>
  <si>
    <t>Core B</t>
  </si>
  <si>
    <t>Total Direct Costs Less Sub F&amp;A</t>
  </si>
  <si>
    <t>Budget Max</t>
  </si>
  <si>
    <t>4/1/23-3/31/24</t>
  </si>
  <si>
    <t>4/1/24-3/31/25</t>
  </si>
  <si>
    <t>4/1/25-3/31/26</t>
  </si>
  <si>
    <t>4/1/26-3/31/27</t>
  </si>
  <si>
    <t>Project 1 - Gerber/Colgan</t>
  </si>
  <si>
    <t>Project 2 - DAS</t>
  </si>
  <si>
    <t>Subcontract</t>
  </si>
  <si>
    <t>Total Operating Expenses</t>
  </si>
  <si>
    <t>Cell culture reagents</t>
  </si>
  <si>
    <t>Animal costs and phenotyping</t>
  </si>
  <si>
    <t>Specific laboratory supplies</t>
  </si>
  <si>
    <t>General laboratory supplies</t>
  </si>
  <si>
    <t>Core services</t>
  </si>
  <si>
    <t>Control lungs</t>
  </si>
  <si>
    <t>Database Maintenance and Support</t>
  </si>
  <si>
    <t>Project Director</t>
  </si>
  <si>
    <t>Post Doc</t>
  </si>
  <si>
    <t>Co-I</t>
  </si>
  <si>
    <t>PRA</t>
  </si>
  <si>
    <t>Core Director</t>
  </si>
  <si>
    <t>Database Coordinator</t>
  </si>
  <si>
    <t>John Doe</t>
  </si>
  <si>
    <t>Total Consultant</t>
  </si>
  <si>
    <t>Site PI</t>
  </si>
  <si>
    <t>Project Director 1</t>
  </si>
  <si>
    <t>Post Doc (1)</t>
  </si>
  <si>
    <t>Co-I (2)</t>
  </si>
  <si>
    <t>PRA (2)</t>
  </si>
  <si>
    <t>Project Director 3</t>
  </si>
  <si>
    <t>Co-I (3)</t>
  </si>
  <si>
    <t>Post Doc (3)</t>
  </si>
  <si>
    <t>PRA (3)</t>
  </si>
  <si>
    <t>Core Leader A</t>
  </si>
  <si>
    <t>Co-I (A)</t>
  </si>
  <si>
    <t>PRA (A)</t>
  </si>
  <si>
    <t>Database Coordinator (A)</t>
  </si>
  <si>
    <t>Core Leader B</t>
  </si>
  <si>
    <t>Co-I (B)</t>
  </si>
  <si>
    <t>Post Doc (B)</t>
  </si>
  <si>
    <t>PRA (B)</t>
  </si>
  <si>
    <t>PD/PI (2)</t>
  </si>
  <si>
    <t>PI/Project Director</t>
  </si>
  <si>
    <t>Subcontract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</si>
</sst>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0" fillId="0" borderId="0" xfId="0" applyFont="1" applyFill="1" applyBorder="1"/>
    <xf numFmtId="3" fontId="0" fillId="0" borderId="0" xfId="0" applyNumberFormat="1" applyFont="1" applyFill="1" applyBorder="1"/>
    <xf numFmtId="9" fontId="2" fillId="2" borderId="1" xfId="2" applyFont="1" applyFill="1" applyBorder="1" applyAlignment="1">
      <alignment horizontal="center"/>
    </xf>
    <xf numFmtId="9" fontId="2" fillId="2" borderId="2" xfId="2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Continuous"/>
    </xf>
    <xf numFmtId="3" fontId="2" fillId="2" borderId="3" xfId="0" applyNumberFormat="1" applyFont="1" applyFill="1" applyBorder="1" applyAlignment="1">
      <alignment horizontal="centerContinuous"/>
    </xf>
    <xf numFmtId="3" fontId="2" fillId="2" borderId="3" xfId="0" applyNumberFormat="1" applyFont="1" applyFill="1" applyBorder="1" applyAlignment="1">
      <alignment horizontal="center"/>
    </xf>
    <xf numFmtId="0" fontId="2" fillId="0" borderId="0" xfId="0" applyFont="1" applyFill="1" applyBorder="1"/>
    <xf numFmtId="9" fontId="2" fillId="2" borderId="5" xfId="2" applyFont="1" applyFill="1" applyBorder="1" applyAlignment="1">
      <alignment horizontal="center"/>
    </xf>
    <xf numFmtId="9" fontId="2" fillId="2" borderId="6" xfId="2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Continuous"/>
    </xf>
    <xf numFmtId="3" fontId="2" fillId="2" borderId="7" xfId="0" applyNumberFormat="1" applyFont="1" applyFill="1" applyBorder="1" applyAlignment="1">
      <alignment horizontal="centerContinuous"/>
    </xf>
    <xf numFmtId="3" fontId="2" fillId="2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164" fontId="4" fillId="0" borderId="1" xfId="0" applyNumberFormat="1" applyFont="1" applyFill="1" applyBorder="1"/>
    <xf numFmtId="3" fontId="0" fillId="0" borderId="8" xfId="1" applyNumberFormat="1" applyFont="1" applyFill="1" applyBorder="1"/>
    <xf numFmtId="3" fontId="5" fillId="0" borderId="8" xfId="0" applyNumberFormat="1" applyFont="1" applyFill="1" applyBorder="1"/>
    <xf numFmtId="164" fontId="4" fillId="0" borderId="9" xfId="0" applyNumberFormat="1" applyFont="1" applyFill="1" applyBorder="1"/>
    <xf numFmtId="3" fontId="4" fillId="0" borderId="8" xfId="0" applyNumberFormat="1" applyFont="1" applyFill="1" applyBorder="1"/>
    <xf numFmtId="164" fontId="2" fillId="0" borderId="10" xfId="2" applyNumberFormat="1" applyFont="1" applyFill="1" applyBorder="1" applyAlignment="1">
      <alignment horizontal="right"/>
    </xf>
    <xf numFmtId="3" fontId="2" fillId="0" borderId="6" xfId="1" applyNumberFormat="1" applyFont="1" applyFill="1" applyBorder="1"/>
    <xf numFmtId="3" fontId="2" fillId="0" borderId="8" xfId="1" applyNumberFormat="1" applyFont="1" applyFill="1" applyBorder="1"/>
    <xf numFmtId="3" fontId="2" fillId="0" borderId="6" xfId="0" applyNumberFormat="1" applyFont="1" applyFill="1" applyBorder="1"/>
    <xf numFmtId="3" fontId="4" fillId="0" borderId="0" xfId="2" applyNumberFormat="1" applyFont="1" applyFill="1" applyBorder="1"/>
    <xf numFmtId="3" fontId="4" fillId="0" borderId="8" xfId="2" applyNumberFormat="1" applyFont="1" applyFill="1" applyBorder="1"/>
    <xf numFmtId="3" fontId="3" fillId="0" borderId="8" xfId="1" applyNumberFormat="1" applyFont="1" applyFill="1" applyBorder="1"/>
    <xf numFmtId="3" fontId="3" fillId="0" borderId="8" xfId="0" applyNumberFormat="1" applyFont="1" applyFill="1" applyBorder="1"/>
    <xf numFmtId="3" fontId="4" fillId="0" borderId="0" xfId="1" applyNumberFormat="1" applyFont="1" applyFill="1" applyBorder="1"/>
    <xf numFmtId="3" fontId="4" fillId="0" borderId="8" xfId="1" applyNumberFormat="1" applyFont="1" applyFill="1" applyBorder="1"/>
    <xf numFmtId="0" fontId="6" fillId="0" borderId="0" xfId="0" applyFont="1" applyFill="1" applyBorder="1"/>
    <xf numFmtId="3" fontId="3" fillId="0" borderId="0" xfId="1" applyNumberFormat="1" applyFont="1" applyFill="1" applyBorder="1" applyAlignment="1">
      <alignment horizontal="right"/>
    </xf>
    <xf numFmtId="3" fontId="3" fillId="0" borderId="4" xfId="2" applyNumberFormat="1" applyFont="1" applyFill="1" applyBorder="1"/>
    <xf numFmtId="3" fontId="3" fillId="0" borderId="4" xfId="0" applyNumberFormat="1" applyFont="1" applyFill="1" applyBorder="1"/>
    <xf numFmtId="3" fontId="3" fillId="0" borderId="0" xfId="0" applyNumberFormat="1" applyFont="1" applyFill="1" applyBorder="1"/>
    <xf numFmtId="9" fontId="2" fillId="0" borderId="10" xfId="2" applyFont="1" applyFill="1" applyBorder="1" applyAlignment="1">
      <alignment horizontal="right"/>
    </xf>
    <xf numFmtId="3" fontId="2" fillId="0" borderId="2" xfId="0" applyNumberFormat="1" applyFont="1" applyBorder="1"/>
    <xf numFmtId="3" fontId="0" fillId="0" borderId="8" xfId="0" applyNumberFormat="1" applyFont="1" applyBorder="1"/>
    <xf numFmtId="0" fontId="2" fillId="0" borderId="0" xfId="0" applyFont="1" applyFill="1" applyBorder="1" applyAlignment="1">
      <alignment horizontal="right"/>
    </xf>
    <xf numFmtId="0" fontId="0" fillId="0" borderId="10" xfId="0" applyFont="1" applyFill="1" applyBorder="1"/>
    <xf numFmtId="3" fontId="2" fillId="0" borderId="4" xfId="0" applyNumberFormat="1" applyFont="1" applyBorder="1"/>
    <xf numFmtId="0" fontId="0" fillId="0" borderId="0" xfId="0" applyFont="1" applyFill="1" applyBorder="1" applyAlignment="1">
      <alignment horizontal="left" indent="1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indent="1"/>
    </xf>
    <xf numFmtId="3" fontId="0" fillId="0" borderId="0" xfId="0" applyNumberFormat="1"/>
    <xf numFmtId="0" fontId="2" fillId="0" borderId="0" xfId="0" applyFont="1"/>
    <xf numFmtId="3" fontId="0" fillId="0" borderId="0" xfId="0" applyNumberFormat="1" applyBorder="1"/>
    <xf numFmtId="3" fontId="0" fillId="0" borderId="2" xfId="0" applyNumberFormat="1" applyBorder="1"/>
    <xf numFmtId="164" fontId="0" fillId="0" borderId="8" xfId="0" applyNumberFormat="1" applyBorder="1"/>
    <xf numFmtId="3" fontId="0" fillId="0" borderId="8" xfId="0" applyNumberFormat="1" applyBorder="1"/>
    <xf numFmtId="0" fontId="0" fillId="0" borderId="8" xfId="0" applyBorder="1"/>
    <xf numFmtId="3" fontId="0" fillId="0" borderId="4" xfId="0" applyNumberFormat="1" applyBorder="1"/>
    <xf numFmtId="3" fontId="2" fillId="0" borderId="11" xfId="0" applyNumberFormat="1" applyFont="1" applyBorder="1"/>
    <xf numFmtId="0" fontId="0" fillId="0" borderId="0" xfId="0" applyBorder="1"/>
    <xf numFmtId="0" fontId="0" fillId="0" borderId="9" xfId="0" applyBorder="1"/>
    <xf numFmtId="3" fontId="2" fillId="2" borderId="2" xfId="0" applyNumberFormat="1" applyFont="1" applyFill="1" applyBorder="1" applyAlignment="1">
      <alignment horizontal="centerContinuous"/>
    </xf>
    <xf numFmtId="3" fontId="2" fillId="2" borderId="6" xfId="0" applyNumberFormat="1" applyFont="1" applyFill="1" applyBorder="1" applyAlignment="1">
      <alignment horizontal="centerContinuous"/>
    </xf>
    <xf numFmtId="3" fontId="2" fillId="2" borderId="2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0" fillId="0" borderId="2" xfId="0" applyNumberFormat="1" applyFont="1" applyBorder="1"/>
    <xf numFmtId="0" fontId="2" fillId="0" borderId="13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8" xfId="2" applyNumberFormat="1" applyFont="1" applyFill="1" applyBorder="1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"/>
    </xf>
    <xf numFmtId="3" fontId="0" fillId="0" borderId="6" xfId="0" applyNumberFormat="1" applyFont="1" applyBorder="1"/>
    <xf numFmtId="0" fontId="0" fillId="0" borderId="0" xfId="0" quotePrefix="1"/>
    <xf numFmtId="0" fontId="0" fillId="0" borderId="4" xfId="0" applyBorder="1"/>
    <xf numFmtId="3" fontId="0" fillId="0" borderId="4" xfId="0" applyNumberFormat="1" applyFont="1" applyBorder="1" applyAlignment="1">
      <alignment horizontal="right"/>
    </xf>
    <xf numFmtId="165" fontId="0" fillId="0" borderId="4" xfId="1" applyNumberFormat="1" applyFont="1" applyBorder="1"/>
    <xf numFmtId="165" fontId="2" fillId="0" borderId="2" xfId="1" applyNumberFormat="1" applyFont="1" applyBorder="1"/>
    <xf numFmtId="0" fontId="2" fillId="0" borderId="4" xfId="0" applyFont="1" applyFill="1" applyBorder="1" applyAlignment="1">
      <alignment horizontal="left"/>
    </xf>
    <xf numFmtId="0" fontId="1" fillId="0" borderId="4" xfId="3" applyFont="1" applyBorder="1" applyAlignment="1">
      <alignment horizontal="left" indent="1"/>
    </xf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0" fontId="3" fillId="0" borderId="4" xfId="0" applyFont="1" applyFill="1" applyBorder="1"/>
    <xf numFmtId="0" fontId="0" fillId="0" borderId="4" xfId="0" applyFont="1" applyFill="1" applyBorder="1" applyAlignment="1">
      <alignment horizontal="left" indent="1"/>
    </xf>
    <xf numFmtId="166" fontId="4" fillId="0" borderId="0" xfId="6" applyNumberFormat="1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wrapText="1" indent="1"/>
    </xf>
    <xf numFmtId="0" fontId="0" fillId="3" borderId="0" xfId="0" applyFill="1"/>
    <xf numFmtId="0" fontId="2" fillId="3" borderId="0" xfId="0" applyFont="1" applyFill="1" applyAlignment="1">
      <alignment horizontal="right"/>
    </xf>
    <xf numFmtId="3" fontId="2" fillId="3" borderId="8" xfId="0" applyNumberFormat="1" applyFont="1" applyFill="1" applyBorder="1"/>
    <xf numFmtId="0" fontId="2" fillId="3" borderId="0" xfId="0" applyFont="1" applyFill="1"/>
    <xf numFmtId="3" fontId="0" fillId="4" borderId="0" xfId="0" applyNumberFormat="1" applyFill="1" applyBorder="1"/>
    <xf numFmtId="0" fontId="0" fillId="4" borderId="0" xfId="0" applyFill="1" applyBorder="1"/>
    <xf numFmtId="0" fontId="2" fillId="4" borderId="0" xfId="0" applyFont="1" applyFill="1" applyBorder="1" applyAlignment="1">
      <alignment horizontal="right"/>
    </xf>
    <xf numFmtId="3" fontId="9" fillId="0" borderId="8" xfId="1" applyNumberFormat="1" applyFont="1" applyFill="1" applyBorder="1"/>
    <xf numFmtId="3" fontId="9" fillId="0" borderId="8" xfId="0" applyNumberFormat="1" applyFont="1" applyFill="1" applyBorder="1"/>
    <xf numFmtId="0" fontId="9" fillId="0" borderId="0" xfId="0" applyFont="1" applyFill="1" applyBorder="1"/>
    <xf numFmtId="3" fontId="1" fillId="0" borderId="8" xfId="2" applyNumberFormat="1" applyFont="1" applyFill="1" applyBorder="1"/>
    <xf numFmtId="3" fontId="1" fillId="0" borderId="8" xfId="0" applyNumberFormat="1" applyFont="1" applyFill="1" applyBorder="1"/>
    <xf numFmtId="3" fontId="2" fillId="0" borderId="8" xfId="2" applyNumberFormat="1" applyFont="1" applyFill="1" applyBorder="1"/>
    <xf numFmtId="0" fontId="10" fillId="0" borderId="0" xfId="0" applyFont="1" applyFill="1" applyBorder="1"/>
    <xf numFmtId="3" fontId="9" fillId="0" borderId="0" xfId="0" applyNumberFormat="1" applyFont="1" applyFill="1" applyBorder="1"/>
    <xf numFmtId="3" fontId="10" fillId="0" borderId="0" xfId="1" applyNumberFormat="1" applyFont="1" applyFill="1" applyBorder="1" applyAlignment="1">
      <alignment horizontal="right"/>
    </xf>
    <xf numFmtId="3" fontId="10" fillId="0" borderId="8" xfId="0" applyNumberFormat="1" applyFont="1" applyFill="1" applyBorder="1"/>
    <xf numFmtId="167" fontId="4" fillId="0" borderId="0" xfId="0" applyNumberFormat="1" applyFont="1" applyFill="1" applyBorder="1"/>
    <xf numFmtId="9" fontId="4" fillId="0" borderId="1" xfId="0" applyNumberFormat="1" applyFont="1" applyFill="1" applyBorder="1"/>
    <xf numFmtId="9" fontId="4" fillId="0" borderId="9" xfId="0" applyNumberFormat="1" applyFont="1" applyFill="1" applyBorder="1"/>
    <xf numFmtId="0" fontId="7" fillId="0" borderId="0" xfId="0" applyFont="1"/>
  </cellXfs>
  <cellStyles count="7">
    <cellStyle name="Comma" xfId="1" builtinId="3"/>
    <cellStyle name="Comma 2" xfId="5" xr:uid="{00000000-0005-0000-0000-000001000000}"/>
    <cellStyle name="Currency" xfId="6" builtinId="4"/>
    <cellStyle name="Normal" xfId="0" builtinId="0"/>
    <cellStyle name="Normal 2" xfId="3" xr:uid="{00000000-0005-0000-0000-000004000000}"/>
    <cellStyle name="Percent" xfId="2" builtinId="5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zoomScale="125" zoomScaleNormal="125" workbookViewId="0">
      <selection activeCell="J28" sqref="J28"/>
    </sheetView>
  </sheetViews>
  <sheetFormatPr defaultRowHeight="13.2" x14ac:dyDescent="0.25"/>
  <cols>
    <col min="1" max="1" width="23.44140625" customWidth="1"/>
    <col min="2" max="2" width="20.5546875" style="47" customWidth="1"/>
    <col min="3" max="3" width="16.33203125" style="47" customWidth="1"/>
    <col min="4" max="4" width="15" style="47" customWidth="1"/>
    <col min="5" max="5" width="16.6640625" style="47" customWidth="1"/>
    <col min="6" max="6" width="17" style="47" customWidth="1"/>
    <col min="7" max="7" width="11.44140625" style="47" bestFit="1" customWidth="1"/>
    <col min="8" max="10" width="9.33203125" style="47"/>
    <col min="12" max="12" width="9.33203125" style="47"/>
  </cols>
  <sheetData>
    <row r="1" spans="1:14" x14ac:dyDescent="0.25">
      <c r="A1" s="48" t="s">
        <v>36</v>
      </c>
    </row>
    <row r="2" spans="1:14" x14ac:dyDescent="0.25">
      <c r="A2" s="60"/>
      <c r="B2" s="58" t="s">
        <v>0</v>
      </c>
      <c r="C2" s="58" t="s">
        <v>1</v>
      </c>
      <c r="D2" s="58" t="s">
        <v>2</v>
      </c>
      <c r="E2" s="58" t="s">
        <v>3</v>
      </c>
      <c r="F2" s="58" t="s">
        <v>3</v>
      </c>
      <c r="G2" s="60"/>
    </row>
    <row r="3" spans="1:14" x14ac:dyDescent="0.25">
      <c r="A3" s="61" t="s">
        <v>20</v>
      </c>
      <c r="B3" s="59" t="s">
        <v>41</v>
      </c>
      <c r="C3" s="59" t="s">
        <v>82</v>
      </c>
      <c r="D3" s="59" t="s">
        <v>83</v>
      </c>
      <c r="E3" s="59" t="s">
        <v>84</v>
      </c>
      <c r="F3" s="59" t="s">
        <v>85</v>
      </c>
      <c r="G3" s="61" t="s">
        <v>11</v>
      </c>
    </row>
    <row r="4" spans="1:14" x14ac:dyDescent="0.25">
      <c r="A4" s="57" t="s">
        <v>86</v>
      </c>
      <c r="B4" s="50" t="e">
        <f>#REF!+#REF!+#REF!+#REF!+#REF!+#REF!+#REF!+Subcontract!D10</f>
        <v>#REF!</v>
      </c>
      <c r="C4" s="50" t="e">
        <f>#REF!+#REF!+#REF!+#REF!+#REF!+#REF!+#REF!+Subcontract!F10</f>
        <v>#REF!</v>
      </c>
      <c r="D4" s="50" t="e">
        <f>#REF!+#REF!+#REF!+#REF!+#REF!+#REF!+#REF!+Subcontract!H10</f>
        <v>#REF!</v>
      </c>
      <c r="E4" s="50" t="e">
        <f>#REF!+#REF!+#REF!+#REF!+#REF!+#REF!+#REF!+Subcontract!J10</f>
        <v>#REF!</v>
      </c>
      <c r="F4" s="50" t="e">
        <f>#REF!+#REF!+#REF!+#REF!+#REF!+#REF!+#REF!+Subcontract!L10</f>
        <v>#REF!</v>
      </c>
      <c r="G4" s="52" t="e">
        <f t="shared" ref="G4:G9" si="0">SUM(B4:E4)</f>
        <v>#REF!</v>
      </c>
    </row>
    <row r="5" spans="1:14" x14ac:dyDescent="0.25">
      <c r="A5" s="57" t="s">
        <v>87</v>
      </c>
      <c r="B5" s="52" t="e">
        <f>'Project 1'!D19+#REF!</f>
        <v>#VALUE!</v>
      </c>
      <c r="C5" s="52" t="e">
        <f>'Project 1'!F19+#REF!</f>
        <v>#REF!</v>
      </c>
      <c r="D5" s="52" t="e">
        <f>'Project 1'!H19+#REF!</f>
        <v>#REF!</v>
      </c>
      <c r="E5" s="52" t="e">
        <f>'Project 1'!J19+#REF!</f>
        <v>#REF!</v>
      </c>
      <c r="F5" s="52" t="e">
        <f>'Project 1'!L19+#REF!</f>
        <v>#REF!</v>
      </c>
      <c r="G5" s="52" t="e">
        <f>SUM(B5:E5)</f>
        <v>#VALUE!</v>
      </c>
    </row>
    <row r="6" spans="1:14" x14ac:dyDescent="0.25">
      <c r="A6" s="57" t="s">
        <v>50</v>
      </c>
      <c r="B6" s="52">
        <f>SUM('Project 2'!D34)</f>
        <v>0</v>
      </c>
      <c r="C6" s="52">
        <f>SUM('Project 2'!F34)</f>
        <v>0</v>
      </c>
      <c r="D6" s="52">
        <f>SUM('Project 2'!H34)</f>
        <v>0</v>
      </c>
      <c r="E6" s="52">
        <f>SUM('Project 2'!J34)</f>
        <v>0</v>
      </c>
      <c r="F6" s="52">
        <f>SUM('Project 2'!L34)</f>
        <v>0</v>
      </c>
      <c r="G6" s="52">
        <f t="shared" si="0"/>
        <v>0</v>
      </c>
    </row>
    <row r="7" spans="1:14" x14ac:dyDescent="0.25">
      <c r="A7" s="57" t="s">
        <v>75</v>
      </c>
      <c r="B7" s="52">
        <f>SUM('Project 3'!D41)</f>
        <v>0</v>
      </c>
      <c r="C7" s="52">
        <f>SUM('Project 3'!F41)</f>
        <v>0</v>
      </c>
      <c r="D7" s="52">
        <f>SUM('Project 3'!H41)</f>
        <v>0</v>
      </c>
      <c r="E7" s="52">
        <f>SUM('Project 3'!J41)</f>
        <v>0</v>
      </c>
      <c r="F7" s="52">
        <f>SUM('Project 3'!L41)</f>
        <v>0</v>
      </c>
      <c r="G7" s="52">
        <f t="shared" si="0"/>
        <v>0</v>
      </c>
      <c r="K7" s="70"/>
    </row>
    <row r="8" spans="1:14" x14ac:dyDescent="0.25">
      <c r="A8" s="57" t="s">
        <v>63</v>
      </c>
      <c r="B8" s="52" t="e">
        <f>SUM('Core A'!#REF!)</f>
        <v>#REF!</v>
      </c>
      <c r="C8" s="52" t="e">
        <f>SUM('Core A'!#REF!)</f>
        <v>#REF!</v>
      </c>
      <c r="D8" s="52" t="e">
        <f>SUM('Core A'!#REF!)</f>
        <v>#REF!</v>
      </c>
      <c r="E8" s="52" t="e">
        <f>SUM('Core A'!#REF!)</f>
        <v>#REF!</v>
      </c>
      <c r="F8" s="52" t="e">
        <f>SUM('Core A'!#REF!)</f>
        <v>#REF!</v>
      </c>
      <c r="G8" s="52" t="e">
        <f t="shared" si="0"/>
        <v>#REF!</v>
      </c>
      <c r="K8" s="70"/>
    </row>
    <row r="9" spans="1:14" x14ac:dyDescent="0.25">
      <c r="A9" s="57" t="s">
        <v>88</v>
      </c>
      <c r="B9" s="52" t="e">
        <f>'Core B'!#REF!</f>
        <v>#REF!</v>
      </c>
      <c r="C9" s="52" t="e">
        <f>SUM('Core B'!#REF!)</f>
        <v>#REF!</v>
      </c>
      <c r="D9" s="52" t="e">
        <f>SUM('Core B'!#REF!)</f>
        <v>#REF!</v>
      </c>
      <c r="E9" s="52" t="e">
        <f>SUM('Core B'!#REF!)</f>
        <v>#REF!</v>
      </c>
      <c r="F9" s="52" t="e">
        <f>SUM('Core B'!#REF!)</f>
        <v>#REF!</v>
      </c>
      <c r="G9" s="52" t="e">
        <f t="shared" si="0"/>
        <v>#REF!</v>
      </c>
    </row>
    <row r="10" spans="1:14" ht="13.8" thickBot="1" x14ac:dyDescent="0.3">
      <c r="A10" s="64" t="s">
        <v>15</v>
      </c>
      <c r="B10" s="55" t="e">
        <f t="shared" ref="B10:G10" si="1">SUM(B4:B9)</f>
        <v>#REF!</v>
      </c>
      <c r="C10" s="55" t="e">
        <f t="shared" si="1"/>
        <v>#REF!</v>
      </c>
      <c r="D10" s="55" t="e">
        <f t="shared" si="1"/>
        <v>#REF!</v>
      </c>
      <c r="E10" s="55" t="e">
        <f t="shared" si="1"/>
        <v>#REF!</v>
      </c>
      <c r="F10" s="55" t="e">
        <f t="shared" si="1"/>
        <v>#REF!</v>
      </c>
      <c r="G10" s="55" t="e">
        <f t="shared" si="1"/>
        <v>#REF!</v>
      </c>
      <c r="N10" s="47"/>
    </row>
    <row r="12" spans="1:14" x14ac:dyDescent="0.25">
      <c r="A12" s="60"/>
      <c r="B12" s="58" t="s">
        <v>0</v>
      </c>
      <c r="C12" s="58" t="s">
        <v>1</v>
      </c>
      <c r="D12" s="58" t="s">
        <v>2</v>
      </c>
      <c r="E12" s="58" t="s">
        <v>3</v>
      </c>
      <c r="F12" s="58" t="s">
        <v>3</v>
      </c>
      <c r="G12" s="60"/>
    </row>
    <row r="13" spans="1:14" x14ac:dyDescent="0.25">
      <c r="A13" s="61" t="s">
        <v>32</v>
      </c>
      <c r="B13" s="59" t="s">
        <v>7</v>
      </c>
      <c r="C13" s="59" t="s">
        <v>8</v>
      </c>
      <c r="D13" s="59" t="s">
        <v>9</v>
      </c>
      <c r="E13" s="59" t="s">
        <v>10</v>
      </c>
      <c r="F13" s="59" t="s">
        <v>10</v>
      </c>
      <c r="G13" s="61" t="s">
        <v>11</v>
      </c>
    </row>
    <row r="14" spans="1:14" x14ac:dyDescent="0.25">
      <c r="A14" s="57" t="s">
        <v>86</v>
      </c>
      <c r="B14" s="52" t="e">
        <f>SUM(#REF!)</f>
        <v>#REF!</v>
      </c>
      <c r="C14" s="52" t="e">
        <f>SUM(#REF!)</f>
        <v>#REF!</v>
      </c>
      <c r="D14" s="52" t="e">
        <f>SUM(#REF!)</f>
        <v>#REF!</v>
      </c>
      <c r="E14" s="52" t="e">
        <f>SUM(#REF!)</f>
        <v>#REF!</v>
      </c>
      <c r="F14" s="52" t="e">
        <f>SUM(#REF!)</f>
        <v>#REF!</v>
      </c>
      <c r="G14" s="52" t="e">
        <f t="shared" ref="G14:G20" si="2">SUM(B14:E14)</f>
        <v>#REF!</v>
      </c>
    </row>
    <row r="15" spans="1:14" x14ac:dyDescent="0.25">
      <c r="A15" s="57" t="s">
        <v>87</v>
      </c>
      <c r="B15" s="52" t="e">
        <f>SUM('Project 1'!#REF!)</f>
        <v>#REF!</v>
      </c>
      <c r="C15" s="52" t="e">
        <f>SUM('Project 1'!#REF!)</f>
        <v>#REF!</v>
      </c>
      <c r="D15" s="52" t="e">
        <f>SUM('Project 1'!#REF!)</f>
        <v>#REF!</v>
      </c>
      <c r="E15" s="52" t="e">
        <f>SUM('Project 1'!#REF!)</f>
        <v>#REF!</v>
      </c>
      <c r="F15" s="52" t="e">
        <f>SUM('Project 1'!#REF!)</f>
        <v>#REF!</v>
      </c>
      <c r="G15" s="52" t="e">
        <f t="shared" si="2"/>
        <v>#REF!</v>
      </c>
    </row>
    <row r="16" spans="1:14" x14ac:dyDescent="0.25">
      <c r="A16" s="57" t="s">
        <v>50</v>
      </c>
      <c r="B16" s="52">
        <f>SUM('Project 2'!D36)</f>
        <v>0</v>
      </c>
      <c r="C16" s="52">
        <f>SUM('Project 2'!F36)</f>
        <v>0</v>
      </c>
      <c r="D16" s="52">
        <f>SUM('Project 2'!H36)</f>
        <v>0</v>
      </c>
      <c r="E16" s="52">
        <f>SUM('Project 2'!J36)</f>
        <v>0</v>
      </c>
      <c r="F16" s="52">
        <f>SUM('Project 2'!L36)</f>
        <v>0</v>
      </c>
      <c r="G16" s="52">
        <f t="shared" si="2"/>
        <v>0</v>
      </c>
    </row>
    <row r="17" spans="1:13" x14ac:dyDescent="0.25">
      <c r="A17" s="57" t="s">
        <v>75</v>
      </c>
      <c r="B17" s="52">
        <f>SUM('Project 3'!D43)</f>
        <v>0</v>
      </c>
      <c r="C17" s="52">
        <f>SUM('Project 3'!F43)</f>
        <v>0</v>
      </c>
      <c r="D17" s="52">
        <f>SUM('Project 3'!H43)</f>
        <v>0</v>
      </c>
      <c r="E17" s="52">
        <f>SUM('Project 3'!J43)</f>
        <v>0</v>
      </c>
      <c r="F17" s="52">
        <f>SUM('Project 3'!L43)</f>
        <v>0</v>
      </c>
      <c r="G17" s="52">
        <f t="shared" si="2"/>
        <v>0</v>
      </c>
    </row>
    <row r="18" spans="1:13" x14ac:dyDescent="0.25">
      <c r="A18" s="57" t="s">
        <v>63</v>
      </c>
      <c r="B18" s="52">
        <f>SUM('Core B'!D9)</f>
        <v>0.37630000000000002</v>
      </c>
      <c r="C18" s="52">
        <f>SUM('Core B'!F9)</f>
        <v>0</v>
      </c>
      <c r="D18" s="52">
        <f>SUM('Core B'!H9)</f>
        <v>2032</v>
      </c>
      <c r="E18" s="52">
        <f>SUM('Core B'!J9)</f>
        <v>2032</v>
      </c>
      <c r="F18" s="52">
        <f>SUM('Core B'!L9)</f>
        <v>2032</v>
      </c>
      <c r="G18" s="52">
        <f t="shared" si="2"/>
        <v>4064.3762999999999</v>
      </c>
    </row>
    <row r="19" spans="1:13" x14ac:dyDescent="0.25">
      <c r="A19" s="57" t="s">
        <v>88</v>
      </c>
      <c r="B19" s="52">
        <v>65020</v>
      </c>
      <c r="C19" s="52">
        <v>18230</v>
      </c>
      <c r="D19" s="52">
        <v>0</v>
      </c>
      <c r="E19" s="52">
        <v>0</v>
      </c>
      <c r="F19" s="52">
        <v>0</v>
      </c>
      <c r="G19" s="52">
        <f t="shared" si="2"/>
        <v>83250</v>
      </c>
    </row>
    <row r="20" spans="1:13" ht="13.8" thickBot="1" x14ac:dyDescent="0.3">
      <c r="A20" s="62" t="s">
        <v>30</v>
      </c>
      <c r="B20" s="55" t="e">
        <f>SUM(B14:B19)</f>
        <v>#REF!</v>
      </c>
      <c r="C20" s="55" t="e">
        <f>SUM(C14:C19)</f>
        <v>#REF!</v>
      </c>
      <c r="D20" s="55" t="e">
        <f>SUM(D14:D19)</f>
        <v>#REF!</v>
      </c>
      <c r="E20" s="55" t="e">
        <f>SUM(E14:E19)</f>
        <v>#REF!</v>
      </c>
      <c r="F20" s="55" t="e">
        <f>SUM(F14:F19)</f>
        <v>#REF!</v>
      </c>
      <c r="G20" s="55" t="e">
        <f t="shared" si="2"/>
        <v>#REF!</v>
      </c>
      <c r="M20" s="47"/>
    </row>
    <row r="22" spans="1:13" x14ac:dyDescent="0.25">
      <c r="A22" s="60"/>
      <c r="B22" s="58" t="s">
        <v>0</v>
      </c>
      <c r="C22" s="58" t="s">
        <v>1</v>
      </c>
      <c r="D22" s="58" t="s">
        <v>2</v>
      </c>
      <c r="E22" s="58" t="s">
        <v>3</v>
      </c>
      <c r="F22" s="58" t="s">
        <v>3</v>
      </c>
      <c r="G22" s="60"/>
    </row>
    <row r="23" spans="1:13" x14ac:dyDescent="0.25">
      <c r="A23" s="61" t="s">
        <v>16</v>
      </c>
      <c r="B23" s="59" t="s">
        <v>7</v>
      </c>
      <c r="C23" s="59" t="s">
        <v>8</v>
      </c>
      <c r="D23" s="59" t="s">
        <v>9</v>
      </c>
      <c r="E23" s="59" t="s">
        <v>10</v>
      </c>
      <c r="F23" s="59" t="s">
        <v>10</v>
      </c>
      <c r="G23" s="61" t="s">
        <v>11</v>
      </c>
    </row>
    <row r="24" spans="1:13" x14ac:dyDescent="0.25">
      <c r="A24" s="57" t="s">
        <v>86</v>
      </c>
      <c r="B24" s="52" t="e">
        <f t="shared" ref="B24:F27" si="3">SUM(B4,B14)</f>
        <v>#REF!</v>
      </c>
      <c r="C24" s="52" t="e">
        <f t="shared" si="3"/>
        <v>#REF!</v>
      </c>
      <c r="D24" s="52" t="e">
        <f t="shared" si="3"/>
        <v>#REF!</v>
      </c>
      <c r="E24" s="52" t="e">
        <f t="shared" si="3"/>
        <v>#REF!</v>
      </c>
      <c r="F24" s="52" t="e">
        <f t="shared" si="3"/>
        <v>#REF!</v>
      </c>
      <c r="G24" s="52" t="e">
        <f t="shared" ref="G24:G30" si="4">SUM(B24:E24)</f>
        <v>#REF!</v>
      </c>
    </row>
    <row r="25" spans="1:13" x14ac:dyDescent="0.25">
      <c r="A25" s="57" t="s">
        <v>87</v>
      </c>
      <c r="B25" s="52" t="e">
        <f t="shared" si="3"/>
        <v>#VALUE!</v>
      </c>
      <c r="C25" s="52" t="e">
        <f t="shared" si="3"/>
        <v>#REF!</v>
      </c>
      <c r="D25" s="52" t="e">
        <f t="shared" si="3"/>
        <v>#REF!</v>
      </c>
      <c r="E25" s="52" t="e">
        <f t="shared" si="3"/>
        <v>#REF!</v>
      </c>
      <c r="F25" s="52" t="e">
        <f t="shared" si="3"/>
        <v>#REF!</v>
      </c>
      <c r="G25" s="52" t="e">
        <f t="shared" si="4"/>
        <v>#VALUE!</v>
      </c>
    </row>
    <row r="26" spans="1:13" x14ac:dyDescent="0.25">
      <c r="A26" s="57" t="s">
        <v>50</v>
      </c>
      <c r="B26" s="52">
        <f t="shared" si="3"/>
        <v>0</v>
      </c>
      <c r="C26" s="52">
        <f t="shared" si="3"/>
        <v>0</v>
      </c>
      <c r="D26" s="52">
        <f t="shared" si="3"/>
        <v>0</v>
      </c>
      <c r="E26" s="52">
        <f t="shared" si="3"/>
        <v>0</v>
      </c>
      <c r="F26" s="52">
        <f t="shared" si="3"/>
        <v>0</v>
      </c>
      <c r="G26" s="52">
        <f t="shared" si="4"/>
        <v>0</v>
      </c>
    </row>
    <row r="27" spans="1:13" x14ac:dyDescent="0.25">
      <c r="A27" s="57" t="s">
        <v>75</v>
      </c>
      <c r="B27" s="52">
        <f t="shared" si="3"/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4"/>
        <v>0</v>
      </c>
    </row>
    <row r="28" spans="1:13" x14ac:dyDescent="0.25">
      <c r="A28" s="57" t="s">
        <v>63</v>
      </c>
      <c r="B28" s="52" t="e">
        <f>SUM(B8)</f>
        <v>#REF!</v>
      </c>
      <c r="C28" s="52" t="e">
        <f>SUM(C8)</f>
        <v>#REF!</v>
      </c>
      <c r="D28" s="52" t="e">
        <f>SUM(D8)</f>
        <v>#REF!</v>
      </c>
      <c r="E28" s="52" t="e">
        <f>SUM(E8)</f>
        <v>#REF!</v>
      </c>
      <c r="F28" s="52" t="e">
        <f>SUM(F8)</f>
        <v>#REF!</v>
      </c>
      <c r="G28" s="52" t="e">
        <f t="shared" si="4"/>
        <v>#REF!</v>
      </c>
    </row>
    <row r="29" spans="1:13" x14ac:dyDescent="0.25">
      <c r="A29" s="57" t="s">
        <v>88</v>
      </c>
      <c r="B29" s="52" t="e">
        <f>SUM(B9,B18)</f>
        <v>#REF!</v>
      </c>
      <c r="C29" s="52" t="e">
        <f>SUM(C9,C18)</f>
        <v>#REF!</v>
      </c>
      <c r="D29" s="52" t="e">
        <f>SUM(D9,D18)</f>
        <v>#REF!</v>
      </c>
      <c r="E29" s="52" t="e">
        <f>SUM(E9,E18)</f>
        <v>#REF!</v>
      </c>
      <c r="F29" s="52" t="e">
        <f>SUM(F9,F18)</f>
        <v>#REF!</v>
      </c>
      <c r="G29" s="52" t="e">
        <f t="shared" si="4"/>
        <v>#REF!</v>
      </c>
    </row>
    <row r="30" spans="1:13" ht="13.8" thickBot="1" x14ac:dyDescent="0.3">
      <c r="A30" s="62" t="s">
        <v>16</v>
      </c>
      <c r="B30" s="55" t="e">
        <f>SUM(B24:B29)</f>
        <v>#REF!</v>
      </c>
      <c r="C30" s="55" t="e">
        <f>SUM(C24:C29)</f>
        <v>#REF!</v>
      </c>
      <c r="D30" s="55" t="e">
        <f>SUM(D24:D29)</f>
        <v>#REF!</v>
      </c>
      <c r="E30" s="55" t="e">
        <f>SUM(E24:E29)</f>
        <v>#REF!</v>
      </c>
      <c r="F30" s="55" t="e">
        <f>SUM(F24:F29)</f>
        <v>#REF!</v>
      </c>
      <c r="G30" s="39" t="e">
        <f t="shared" si="4"/>
        <v>#REF!</v>
      </c>
    </row>
    <row r="31" spans="1:13" x14ac:dyDescent="0.25">
      <c r="E31" s="65" t="s">
        <v>33</v>
      </c>
      <c r="F31" s="65" t="s">
        <v>33</v>
      </c>
      <c r="G31" s="52">
        <v>10000000</v>
      </c>
    </row>
    <row r="32" spans="1:13" x14ac:dyDescent="0.25">
      <c r="E32" s="65" t="s">
        <v>34</v>
      </c>
      <c r="F32" s="65" t="s">
        <v>34</v>
      </c>
      <c r="G32" s="74" t="e">
        <f>G31-G30</f>
        <v>#REF!</v>
      </c>
    </row>
    <row r="33" spans="1:7" x14ac:dyDescent="0.25">
      <c r="A33" s="71"/>
      <c r="B33" s="54" t="s">
        <v>0</v>
      </c>
      <c r="C33" s="54" t="s">
        <v>1</v>
      </c>
      <c r="D33" s="54" t="s">
        <v>2</v>
      </c>
      <c r="E33" s="72" t="s">
        <v>3</v>
      </c>
      <c r="F33" s="72" t="s">
        <v>3</v>
      </c>
      <c r="G33" s="72" t="s">
        <v>11</v>
      </c>
    </row>
    <row r="34" spans="1:7" x14ac:dyDescent="0.25">
      <c r="A34" s="71" t="s">
        <v>38</v>
      </c>
      <c r="B34" s="54">
        <v>2443389</v>
      </c>
      <c r="C34" s="54">
        <v>2475512</v>
      </c>
      <c r="D34" s="54">
        <v>2568157</v>
      </c>
      <c r="E34" s="54">
        <v>2512941</v>
      </c>
      <c r="F34" s="54">
        <v>2512941</v>
      </c>
      <c r="G34" s="54">
        <v>9999999</v>
      </c>
    </row>
    <row r="35" spans="1:7" x14ac:dyDescent="0.25">
      <c r="A35" s="71" t="s">
        <v>39</v>
      </c>
      <c r="B35" s="54" t="e">
        <f t="shared" ref="B35:G35" si="5">B30</f>
        <v>#REF!</v>
      </c>
      <c r="C35" s="54" t="e">
        <f t="shared" si="5"/>
        <v>#REF!</v>
      </c>
      <c r="D35" s="54" t="e">
        <f t="shared" si="5"/>
        <v>#REF!</v>
      </c>
      <c r="E35" s="54" t="e">
        <f t="shared" si="5"/>
        <v>#REF!</v>
      </c>
      <c r="F35" s="54" t="e">
        <f t="shared" si="5"/>
        <v>#REF!</v>
      </c>
      <c r="G35" s="54" t="e">
        <f t="shared" si="5"/>
        <v>#REF!</v>
      </c>
    </row>
    <row r="36" spans="1:7" x14ac:dyDescent="0.25">
      <c r="A36" s="71" t="s">
        <v>37</v>
      </c>
      <c r="B36" s="73" t="e">
        <f>B34-B30</f>
        <v>#REF!</v>
      </c>
      <c r="C36" s="73" t="e">
        <f t="shared" ref="C36:E36" si="6">C34-C30</f>
        <v>#REF!</v>
      </c>
      <c r="D36" s="73" t="e">
        <f t="shared" si="6"/>
        <v>#REF!</v>
      </c>
      <c r="E36" s="73" t="e">
        <f t="shared" si="6"/>
        <v>#REF!</v>
      </c>
      <c r="F36" s="73" t="e">
        <f t="shared" ref="F36" si="7">F34-F30</f>
        <v>#REF!</v>
      </c>
      <c r="G36" s="73" t="e">
        <f>G34-G35</f>
        <v>#REF!</v>
      </c>
    </row>
    <row r="38" spans="1:7" x14ac:dyDescent="0.25">
      <c r="B38" s="47" t="e">
        <f>Consolidated!D59-Summary!B35</f>
        <v>#REF!</v>
      </c>
    </row>
  </sheetData>
  <printOptions horizontalCentered="1" gridLines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9"/>
  <sheetViews>
    <sheetView tabSelected="1" zoomScaleNormal="100" workbookViewId="0">
      <pane ySplit="3" topLeftCell="A4" activePane="bottomLeft" state="frozen"/>
      <selection pane="bottomLeft" activeCell="O30" sqref="O30"/>
    </sheetView>
  </sheetViews>
  <sheetFormatPr defaultRowHeight="13.2" x14ac:dyDescent="0.25"/>
  <cols>
    <col min="1" max="1" width="29.33203125" bestFit="1" customWidth="1"/>
    <col min="2" max="2" width="11.33203125" customWidth="1"/>
    <col min="3" max="3" width="9.33203125" customWidth="1"/>
    <col min="4" max="4" width="11.33203125" bestFit="1" customWidth="1"/>
    <col min="5" max="5" width="9.33203125" customWidth="1"/>
    <col min="6" max="6" width="11.6640625" bestFit="1" customWidth="1"/>
    <col min="7" max="7" width="9.33203125" customWidth="1"/>
    <col min="8" max="8" width="8.88671875" bestFit="1" customWidth="1"/>
    <col min="9" max="9" width="9.33203125" customWidth="1"/>
    <col min="10" max="10" width="8.88671875" bestFit="1" customWidth="1"/>
    <col min="11" max="11" width="9.33203125" customWidth="1"/>
    <col min="12" max="12" width="8.88671875" bestFit="1" customWidth="1"/>
    <col min="13" max="13" width="9.33203125" customWidth="1"/>
    <col min="14" max="14" width="10.33203125" style="47" bestFit="1" customWidth="1"/>
  </cols>
  <sheetData>
    <row r="1" spans="1:14" x14ac:dyDescent="0.25">
      <c r="A1" s="48" t="s">
        <v>31</v>
      </c>
    </row>
    <row r="2" spans="1:14" x14ac:dyDescent="0.25">
      <c r="A2" s="4"/>
      <c r="B2" s="6"/>
      <c r="C2" s="7"/>
      <c r="D2" s="8" t="s">
        <v>0</v>
      </c>
      <c r="E2" s="9"/>
      <c r="F2" s="8" t="s">
        <v>1</v>
      </c>
      <c r="G2" s="9"/>
      <c r="H2" s="8" t="s">
        <v>2</v>
      </c>
      <c r="I2" s="9"/>
      <c r="J2" s="8" t="s">
        <v>3</v>
      </c>
      <c r="K2" s="9"/>
      <c r="L2" s="8" t="s">
        <v>42</v>
      </c>
      <c r="M2" s="9"/>
      <c r="N2" s="10"/>
    </row>
    <row r="3" spans="1:14" x14ac:dyDescent="0.25">
      <c r="A3" s="11" t="s">
        <v>4</v>
      </c>
      <c r="B3" s="12" t="s">
        <v>5</v>
      </c>
      <c r="C3" s="13" t="s">
        <v>6</v>
      </c>
      <c r="D3" s="14" t="s">
        <v>41</v>
      </c>
      <c r="E3" s="15"/>
      <c r="F3" s="14" t="s">
        <v>41</v>
      </c>
      <c r="G3" s="15"/>
      <c r="H3" s="14" t="s">
        <v>41</v>
      </c>
      <c r="I3" s="15"/>
      <c r="J3" s="14" t="s">
        <v>41</v>
      </c>
      <c r="K3" s="15"/>
      <c r="L3" s="14" t="s">
        <v>41</v>
      </c>
      <c r="M3" s="15"/>
      <c r="N3" s="16" t="s">
        <v>11</v>
      </c>
    </row>
    <row r="4" spans="1:14" x14ac:dyDescent="0.25">
      <c r="A4" s="46" t="s">
        <v>122</v>
      </c>
      <c r="B4" s="51">
        <f>'Project 2'!C5</f>
        <v>0.2</v>
      </c>
      <c r="C4" s="51">
        <f>'Project 2'!D5</f>
        <v>0.24829999999999999</v>
      </c>
      <c r="D4" s="50">
        <f>'Project 2'!E5</f>
        <v>39860</v>
      </c>
      <c r="E4" s="50">
        <f>'Project 2'!F5</f>
        <v>9897</v>
      </c>
      <c r="F4" s="50">
        <f>'Project 2'!G5</f>
        <v>39860</v>
      </c>
      <c r="G4" s="50">
        <f>'Project 2'!H5</f>
        <v>9897</v>
      </c>
      <c r="H4" s="50">
        <f>'Project 2'!I5</f>
        <v>39860</v>
      </c>
      <c r="I4" s="50">
        <f>'Project 2'!J5</f>
        <v>9897</v>
      </c>
      <c r="J4" s="50">
        <f>'Project 2'!K5</f>
        <v>39860</v>
      </c>
      <c r="K4" s="50">
        <f>'Project 2'!L5</f>
        <v>9897</v>
      </c>
      <c r="L4" s="50">
        <f>'Project 2'!M5</f>
        <v>39860</v>
      </c>
      <c r="M4" s="50">
        <f>'Project 2'!N5</f>
        <v>9897.2379999999994</v>
      </c>
      <c r="N4" s="50">
        <f>SUM(D4:M4)</f>
        <v>248785.23800000001</v>
      </c>
    </row>
    <row r="5" spans="1:14" x14ac:dyDescent="0.25">
      <c r="A5" s="46" t="s">
        <v>106</v>
      </c>
      <c r="B5" s="51">
        <f>'Project 1'!C5</f>
        <v>0.1</v>
      </c>
      <c r="C5" s="51">
        <f>'Project 1'!D5</f>
        <v>0.24829999999999999</v>
      </c>
      <c r="D5" s="52">
        <f>'Project 1'!E5</f>
        <v>19930</v>
      </c>
      <c r="E5" s="52">
        <f>'Project 1'!F5</f>
        <v>4949</v>
      </c>
      <c r="F5" s="52">
        <f>'Project 1'!G5</f>
        <v>19930</v>
      </c>
      <c r="G5" s="52">
        <f>'Project 1'!H5</f>
        <v>4949</v>
      </c>
      <c r="H5" s="52">
        <f>'Project 1'!I5</f>
        <v>19930</v>
      </c>
      <c r="I5" s="52">
        <f>'Project 1'!J5</f>
        <v>4949</v>
      </c>
      <c r="J5" s="52">
        <f>'Project 1'!K5</f>
        <v>19930</v>
      </c>
      <c r="K5" s="52">
        <f>'Project 1'!L5</f>
        <v>4949</v>
      </c>
      <c r="L5" s="52">
        <f>'Project 1'!M5</f>
        <v>19930</v>
      </c>
      <c r="M5" s="52">
        <f>'Project 1'!N5</f>
        <v>4948.6189999999997</v>
      </c>
      <c r="N5" s="50">
        <f t="shared" ref="N5:N28" si="0">SUM(D5:M5)</f>
        <v>124394.61900000001</v>
      </c>
    </row>
    <row r="6" spans="1:14" x14ac:dyDescent="0.25">
      <c r="A6" s="46" t="s">
        <v>107</v>
      </c>
      <c r="B6" s="51">
        <f>'Project 1'!C6</f>
        <v>1</v>
      </c>
      <c r="C6" s="51">
        <f>'Project 1'!D6</f>
        <v>0.2671</v>
      </c>
      <c r="D6" s="52">
        <f>'Project 1'!E6</f>
        <v>52500</v>
      </c>
      <c r="E6" s="52">
        <f>'Project 1'!F6</f>
        <v>14023</v>
      </c>
      <c r="F6" s="52">
        <f>'Project 1'!G6</f>
        <v>52500</v>
      </c>
      <c r="G6" s="52">
        <f>'Project 1'!H6</f>
        <v>14023</v>
      </c>
      <c r="H6" s="52">
        <f>'Project 1'!I6</f>
        <v>52500</v>
      </c>
      <c r="I6" s="52">
        <f>'Project 1'!J6</f>
        <v>14023</v>
      </c>
      <c r="J6" s="52">
        <f>'Project 1'!K6</f>
        <v>52500</v>
      </c>
      <c r="K6" s="52">
        <f>'Project 1'!L6</f>
        <v>14023</v>
      </c>
      <c r="L6" s="52">
        <f>'Project 1'!M6</f>
        <v>52500</v>
      </c>
      <c r="M6" s="52">
        <f>'Project 1'!N6</f>
        <v>14022.75</v>
      </c>
      <c r="N6" s="50">
        <f t="shared" si="0"/>
        <v>332614.75</v>
      </c>
    </row>
    <row r="7" spans="1:14" x14ac:dyDescent="0.25">
      <c r="A7" s="46" t="s">
        <v>108</v>
      </c>
      <c r="B7" s="51">
        <f>'Project 2'!C6</f>
        <v>0.15</v>
      </c>
      <c r="C7" s="51">
        <f>'Project 2'!D6</f>
        <v>0.24829999999999999</v>
      </c>
      <c r="D7" s="52">
        <f>'Project 2'!E6</f>
        <v>27304.05</v>
      </c>
      <c r="E7" s="52">
        <f>'Project 2'!F6</f>
        <v>6780</v>
      </c>
      <c r="F7" s="52">
        <f>'Project 2'!G6</f>
        <v>27304.05</v>
      </c>
      <c r="G7" s="52">
        <f>'Project 2'!H6</f>
        <v>6780</v>
      </c>
      <c r="H7" s="52">
        <f>'Project 2'!I6</f>
        <v>27304.05</v>
      </c>
      <c r="I7" s="52">
        <f>'Project 2'!J6</f>
        <v>6780</v>
      </c>
      <c r="J7" s="52">
        <f>'Project 2'!K6</f>
        <v>27304.05</v>
      </c>
      <c r="K7" s="52">
        <f>'Project 2'!L6</f>
        <v>6780</v>
      </c>
      <c r="L7" s="52">
        <f>'Project 2'!M6</f>
        <v>27304.05</v>
      </c>
      <c r="M7" s="52">
        <f>'Project 2'!N6</f>
        <v>6779.5956149999993</v>
      </c>
      <c r="N7" s="50">
        <f t="shared" si="0"/>
        <v>170419.845615</v>
      </c>
    </row>
    <row r="8" spans="1:14" x14ac:dyDescent="0.25">
      <c r="A8" s="46" t="s">
        <v>108</v>
      </c>
      <c r="B8" s="51">
        <f>'Project 2'!C7</f>
        <v>0.1</v>
      </c>
      <c r="C8" s="51">
        <f>'Project 2'!D7</f>
        <v>0.24829999999999999</v>
      </c>
      <c r="D8" s="52">
        <f>'Project 2'!E7</f>
        <v>9200</v>
      </c>
      <c r="E8" s="52">
        <f>'Project 2'!F7</f>
        <v>2284</v>
      </c>
      <c r="F8" s="52">
        <f>'Project 2'!G7</f>
        <v>9200</v>
      </c>
      <c r="G8" s="52">
        <f>'Project 2'!H7</f>
        <v>2284</v>
      </c>
      <c r="H8" s="52">
        <f>'Project 2'!I7</f>
        <v>9200</v>
      </c>
      <c r="I8" s="52">
        <f>'Project 2'!J7</f>
        <v>2284</v>
      </c>
      <c r="J8" s="52">
        <f>'Project 2'!K7</f>
        <v>9200</v>
      </c>
      <c r="K8" s="52">
        <f>'Project 2'!L7</f>
        <v>2284</v>
      </c>
      <c r="L8" s="52">
        <f>'Project 2'!M7</f>
        <v>9200</v>
      </c>
      <c r="M8" s="52">
        <f>'Project 2'!N7</f>
        <v>2284.36</v>
      </c>
      <c r="N8" s="50">
        <f t="shared" si="0"/>
        <v>57420.36</v>
      </c>
    </row>
    <row r="9" spans="1:14" x14ac:dyDescent="0.25">
      <c r="A9" s="46" t="s">
        <v>109</v>
      </c>
      <c r="B9" s="51">
        <f>'Project 2'!C8</f>
        <v>1</v>
      </c>
      <c r="C9" s="51">
        <f>'Project 2'!D8</f>
        <v>0.37630000000000002</v>
      </c>
      <c r="D9" s="52">
        <f>'Project 2'!E8</f>
        <v>78695</v>
      </c>
      <c r="E9" s="52">
        <f>'Project 2'!F8</f>
        <v>29613</v>
      </c>
      <c r="F9" s="52">
        <f>'Project 2'!G8</f>
        <v>78695</v>
      </c>
      <c r="G9" s="52">
        <f>'Project 2'!H8</f>
        <v>29613</v>
      </c>
      <c r="H9" s="52">
        <f>'Project 2'!I8</f>
        <v>78695</v>
      </c>
      <c r="I9" s="52">
        <f>'Project 2'!J8</f>
        <v>29613</v>
      </c>
      <c r="J9" s="52">
        <f>'Project 2'!K8</f>
        <v>78695</v>
      </c>
      <c r="K9" s="52">
        <f>'Project 2'!L8</f>
        <v>29613</v>
      </c>
      <c r="L9" s="52">
        <f>'Project 2'!M8</f>
        <v>78695</v>
      </c>
      <c r="M9" s="52">
        <f>'Project 2'!N8</f>
        <v>29612.928500000002</v>
      </c>
      <c r="N9" s="50">
        <f t="shared" si="0"/>
        <v>541539.92850000004</v>
      </c>
    </row>
    <row r="10" spans="1:14" x14ac:dyDescent="0.25">
      <c r="A10" s="46" t="s">
        <v>109</v>
      </c>
      <c r="B10" s="51">
        <f>'Project 2'!C9</f>
        <v>0.5</v>
      </c>
      <c r="C10" s="51">
        <f>'Project 2'!D9</f>
        <v>0.37630000000000002</v>
      </c>
      <c r="D10" s="52">
        <f>'Project 2'!E9</f>
        <v>30000</v>
      </c>
      <c r="E10" s="52">
        <f>'Project 2'!F9</f>
        <v>11289</v>
      </c>
      <c r="F10" s="52">
        <f>'Project 2'!G9</f>
        <v>30000</v>
      </c>
      <c r="G10" s="52">
        <f>'Project 2'!H9</f>
        <v>11289</v>
      </c>
      <c r="H10" s="52">
        <f>'Project 2'!I9</f>
        <v>30000</v>
      </c>
      <c r="I10" s="52">
        <f>'Project 2'!J9</f>
        <v>11289</v>
      </c>
      <c r="J10" s="52">
        <f>'Project 2'!K9</f>
        <v>30000</v>
      </c>
      <c r="K10" s="52">
        <f>'Project 2'!L9</f>
        <v>11289</v>
      </c>
      <c r="L10" s="52">
        <f>'Project 2'!M9</f>
        <v>30000</v>
      </c>
      <c r="M10" s="52">
        <f>'Project 2'!N9</f>
        <v>11289</v>
      </c>
      <c r="N10" s="50">
        <f t="shared" si="0"/>
        <v>206445</v>
      </c>
    </row>
    <row r="11" spans="1:14" x14ac:dyDescent="0.25">
      <c r="A11" s="44" t="s">
        <v>110</v>
      </c>
      <c r="B11" s="51">
        <f>'Project 3'!C5</f>
        <v>0.25</v>
      </c>
      <c r="C11" s="51">
        <f>'Project 3'!D5</f>
        <v>0.24829999999999999</v>
      </c>
      <c r="D11" s="52">
        <f>'Project 3'!E5</f>
        <v>49825</v>
      </c>
      <c r="E11" s="52">
        <f>'Project 3'!F5</f>
        <v>12372</v>
      </c>
      <c r="F11" s="52">
        <f>'Project 3'!G5</f>
        <v>49825</v>
      </c>
      <c r="G11" s="52">
        <f>'Project 3'!H5</f>
        <v>12372</v>
      </c>
      <c r="H11" s="52">
        <f>'Project 3'!I5</f>
        <v>49825</v>
      </c>
      <c r="I11" s="52">
        <f>'Project 3'!J5</f>
        <v>12372</v>
      </c>
      <c r="J11" s="52">
        <f>'Project 3'!K5</f>
        <v>49825</v>
      </c>
      <c r="K11" s="52">
        <f>'Project 3'!L5</f>
        <v>12372</v>
      </c>
      <c r="L11" s="52">
        <f>'Project 3'!M5</f>
        <v>49825</v>
      </c>
      <c r="M11" s="52">
        <f>'Project 3'!N5</f>
        <v>12371.547499999999</v>
      </c>
      <c r="N11" s="50">
        <f t="shared" si="0"/>
        <v>310984.54749999999</v>
      </c>
    </row>
    <row r="12" spans="1:14" x14ac:dyDescent="0.25">
      <c r="A12" s="44" t="s">
        <v>111</v>
      </c>
      <c r="B12" s="51">
        <f>'Project 3'!C6</f>
        <v>0.2</v>
      </c>
      <c r="C12" s="51">
        <f>'Project 3'!D6</f>
        <v>0.24829999999999999</v>
      </c>
      <c r="D12" s="52">
        <f>'Project 3'!E6</f>
        <v>26000</v>
      </c>
      <c r="E12" s="52">
        <f>'Project 3'!F6</f>
        <v>6456</v>
      </c>
      <c r="F12" s="52">
        <f>'Project 3'!G6</f>
        <v>26000</v>
      </c>
      <c r="G12" s="52">
        <f>'Project 3'!H6</f>
        <v>6456</v>
      </c>
      <c r="H12" s="52">
        <f>'Project 3'!I6</f>
        <v>26000</v>
      </c>
      <c r="I12" s="52">
        <f>'Project 3'!J6</f>
        <v>6456</v>
      </c>
      <c r="J12" s="52">
        <f>'Project 3'!K6</f>
        <v>26000</v>
      </c>
      <c r="K12" s="52">
        <f>'Project 3'!L6</f>
        <v>6456</v>
      </c>
      <c r="L12" s="52">
        <f>'Project 3'!M6</f>
        <v>26000</v>
      </c>
      <c r="M12" s="52">
        <f>'Project 3'!N6</f>
        <v>6455.8</v>
      </c>
      <c r="N12" s="50">
        <f t="shared" si="0"/>
        <v>162279.79999999999</v>
      </c>
    </row>
    <row r="13" spans="1:14" x14ac:dyDescent="0.25">
      <c r="A13" s="46" t="s">
        <v>111</v>
      </c>
      <c r="B13" s="51">
        <f>'Project 3'!C7</f>
        <v>0.05</v>
      </c>
      <c r="C13" s="51">
        <f>'Project 3'!D7</f>
        <v>0.24829999999999999</v>
      </c>
      <c r="D13" s="52">
        <f>'Project 3'!E7</f>
        <v>7500</v>
      </c>
      <c r="E13" s="52">
        <f>'Project 3'!F7</f>
        <v>1862</v>
      </c>
      <c r="F13" s="52">
        <f>'Project 3'!G7</f>
        <v>7500</v>
      </c>
      <c r="G13" s="52">
        <f>'Project 3'!H7</f>
        <v>1862</v>
      </c>
      <c r="H13" s="52">
        <f>'Project 3'!I7</f>
        <v>7500</v>
      </c>
      <c r="I13" s="52">
        <f>'Project 3'!J7</f>
        <v>1862</v>
      </c>
      <c r="J13" s="52">
        <f>'Project 3'!K7</f>
        <v>7500</v>
      </c>
      <c r="K13" s="52">
        <f>'Project 3'!L7</f>
        <v>1862</v>
      </c>
      <c r="L13" s="52">
        <f>'Project 3'!M7</f>
        <v>7500</v>
      </c>
      <c r="M13" s="52">
        <f>'Project 3'!N7</f>
        <v>1862.25</v>
      </c>
      <c r="N13" s="50">
        <f t="shared" si="0"/>
        <v>46810.25</v>
      </c>
    </row>
    <row r="14" spans="1:14" x14ac:dyDescent="0.25">
      <c r="A14" s="46" t="s">
        <v>112</v>
      </c>
      <c r="B14" s="51">
        <f>'Project 3'!C8</f>
        <v>1</v>
      </c>
      <c r="C14" s="51">
        <f>'Project 3'!D8</f>
        <v>0.2671</v>
      </c>
      <c r="D14" s="52">
        <f>'Project 3'!E8</f>
        <v>52896</v>
      </c>
      <c r="E14" s="52">
        <f>'Project 3'!F8</f>
        <v>14129</v>
      </c>
      <c r="F14" s="52">
        <f>'Project 3'!G8</f>
        <v>52896</v>
      </c>
      <c r="G14" s="52">
        <f>'Project 3'!H8</f>
        <v>14129</v>
      </c>
      <c r="H14" s="52">
        <f>'Project 3'!I8</f>
        <v>52896</v>
      </c>
      <c r="I14" s="52">
        <f>'Project 3'!J8</f>
        <v>14129</v>
      </c>
      <c r="J14" s="52">
        <f>'Project 3'!K8</f>
        <v>52896</v>
      </c>
      <c r="K14" s="52">
        <f>'Project 3'!L8</f>
        <v>14129</v>
      </c>
      <c r="L14" s="52">
        <f>'Project 3'!M8</f>
        <v>52896</v>
      </c>
      <c r="M14" s="52">
        <f>'Project 3'!N8</f>
        <v>14128.5216</v>
      </c>
      <c r="N14" s="50">
        <f t="shared" si="0"/>
        <v>335124.52159999998</v>
      </c>
    </row>
    <row r="15" spans="1:14" x14ac:dyDescent="0.25">
      <c r="A15" s="46" t="s">
        <v>113</v>
      </c>
      <c r="B15" s="51">
        <f>'Project 3'!C9</f>
        <v>0.5</v>
      </c>
      <c r="C15" s="51">
        <f>'Project 3'!D9</f>
        <v>0.37630000000000002</v>
      </c>
      <c r="D15" s="52">
        <f>'Project 3'!E9</f>
        <v>30563</v>
      </c>
      <c r="E15" s="52">
        <f>'Project 3'!F9</f>
        <v>11501</v>
      </c>
      <c r="F15" s="52">
        <f>'Project 3'!G9</f>
        <v>30563</v>
      </c>
      <c r="G15" s="52">
        <f>'Project 3'!H9</f>
        <v>11501</v>
      </c>
      <c r="H15" s="52">
        <f>'Project 3'!I9</f>
        <v>30563</v>
      </c>
      <c r="I15" s="52">
        <f>'Project 3'!J9</f>
        <v>11501</v>
      </c>
      <c r="J15" s="52">
        <f>'Project 3'!K9</f>
        <v>30563</v>
      </c>
      <c r="K15" s="52">
        <f>'Project 3'!L9</f>
        <v>11501</v>
      </c>
      <c r="L15" s="52">
        <f>'Project 3'!M9</f>
        <v>30563</v>
      </c>
      <c r="M15" s="52">
        <f>'Project 3'!N9</f>
        <v>11500.856900000001</v>
      </c>
      <c r="N15" s="50">
        <f t="shared" si="0"/>
        <v>210319.85690000001</v>
      </c>
    </row>
    <row r="16" spans="1:14" x14ac:dyDescent="0.25">
      <c r="A16" s="46" t="s">
        <v>113</v>
      </c>
      <c r="B16" s="51">
        <f>'Project 3'!C10</f>
        <v>0.2</v>
      </c>
      <c r="C16" s="51">
        <f>'Project 3'!D10</f>
        <v>0.37630000000000002</v>
      </c>
      <c r="D16" s="52">
        <f>'Project 3'!E10</f>
        <v>8100</v>
      </c>
      <c r="E16" s="52">
        <f>'Project 3'!F10</f>
        <v>3048</v>
      </c>
      <c r="F16" s="52">
        <f>'Project 3'!G10</f>
        <v>8100</v>
      </c>
      <c r="G16" s="52">
        <f>'Project 3'!H10</f>
        <v>3048</v>
      </c>
      <c r="H16" s="52">
        <f>'Project 3'!I10</f>
        <v>8100</v>
      </c>
      <c r="I16" s="52">
        <f>'Project 3'!J10</f>
        <v>3048</v>
      </c>
      <c r="J16" s="52">
        <f>'Project 3'!K10</f>
        <v>8100</v>
      </c>
      <c r="K16" s="52">
        <f>'Project 3'!L10</f>
        <v>3048</v>
      </c>
      <c r="L16" s="52">
        <f>'Project 3'!M10</f>
        <v>8100</v>
      </c>
      <c r="M16" s="52">
        <f>'Project 3'!N10</f>
        <v>3048.03</v>
      </c>
      <c r="N16" s="50">
        <f t="shared" si="0"/>
        <v>55740.03</v>
      </c>
    </row>
    <row r="17" spans="1:15" x14ac:dyDescent="0.25">
      <c r="A17" s="46" t="s">
        <v>114</v>
      </c>
      <c r="B17" s="51">
        <f>'Core A'!C5</f>
        <v>0.2</v>
      </c>
      <c r="C17" s="51">
        <f>'Core A'!D5</f>
        <v>0.24829999999999999</v>
      </c>
      <c r="D17" s="52">
        <f>'Core A'!E5</f>
        <v>39860</v>
      </c>
      <c r="E17" s="52">
        <f>'Core A'!F5</f>
        <v>9897</v>
      </c>
      <c r="F17" s="52">
        <f>'Core A'!G5</f>
        <v>39860</v>
      </c>
      <c r="G17" s="52">
        <f>'Core A'!H5</f>
        <v>9897</v>
      </c>
      <c r="H17" s="52">
        <f>'Core A'!I5</f>
        <v>39860</v>
      </c>
      <c r="I17" s="52">
        <f>'Core A'!J5</f>
        <v>9897</v>
      </c>
      <c r="J17" s="52">
        <f>'Core A'!K5</f>
        <v>39860</v>
      </c>
      <c r="K17" s="52">
        <f>'Core A'!L5</f>
        <v>9897</v>
      </c>
      <c r="L17" s="52">
        <f>'Core A'!M5</f>
        <v>39860</v>
      </c>
      <c r="M17" s="52">
        <f>'Core A'!N5</f>
        <v>9897.2379999999994</v>
      </c>
      <c r="N17" s="50">
        <f t="shared" si="0"/>
        <v>248785.23800000001</v>
      </c>
    </row>
    <row r="18" spans="1:15" x14ac:dyDescent="0.25">
      <c r="A18" s="46" t="s">
        <v>115</v>
      </c>
      <c r="B18" s="51">
        <f>'Core A'!C6</f>
        <v>0.05</v>
      </c>
      <c r="C18" s="51">
        <f>'Core A'!D6</f>
        <v>0.25819999999999999</v>
      </c>
      <c r="D18" s="52">
        <f>'Core A'!E6</f>
        <v>4248.25</v>
      </c>
      <c r="E18" s="52">
        <f>'Core A'!F6</f>
        <v>1097</v>
      </c>
      <c r="F18" s="52">
        <f>'Core A'!G6</f>
        <v>4248</v>
      </c>
      <c r="G18" s="52">
        <f>'Core A'!H6</f>
        <v>1097</v>
      </c>
      <c r="H18" s="52">
        <f>'Core A'!I6</f>
        <v>4248</v>
      </c>
      <c r="I18" s="52">
        <f>'Core A'!J6</f>
        <v>1097</v>
      </c>
      <c r="J18" s="52">
        <f>'Core A'!K6</f>
        <v>4248</v>
      </c>
      <c r="K18" s="52">
        <f>'Core A'!L6</f>
        <v>1097</v>
      </c>
      <c r="L18" s="52">
        <f>'Core A'!M6</f>
        <v>4248</v>
      </c>
      <c r="M18" s="52">
        <f>'Core A'!N6</f>
        <v>1096.8335999999999</v>
      </c>
      <c r="N18" s="50">
        <f t="shared" si="0"/>
        <v>26725.083599999998</v>
      </c>
    </row>
    <row r="19" spans="1:15" x14ac:dyDescent="0.25">
      <c r="A19" s="46" t="s">
        <v>115</v>
      </c>
      <c r="B19" s="51">
        <f>'Core A'!C7</f>
        <v>0.1</v>
      </c>
      <c r="C19" s="51">
        <f>'Core A'!D7</f>
        <v>0.24829999999999999</v>
      </c>
      <c r="D19" s="52">
        <f>'Core A'!E7</f>
        <v>17438.75</v>
      </c>
      <c r="E19" s="52">
        <f>'Core A'!F7</f>
        <v>4330</v>
      </c>
      <c r="F19" s="52">
        <f>'Core A'!G7</f>
        <v>17439</v>
      </c>
      <c r="G19" s="52">
        <f>'Core A'!H7</f>
        <v>4330</v>
      </c>
      <c r="H19" s="52">
        <f>'Core A'!I7</f>
        <v>17439</v>
      </c>
      <c r="I19" s="52">
        <f>'Core A'!J7</f>
        <v>4330</v>
      </c>
      <c r="J19" s="52">
        <f>'Core A'!K7</f>
        <v>17439</v>
      </c>
      <c r="K19" s="52">
        <f>'Core A'!L7</f>
        <v>4330</v>
      </c>
      <c r="L19" s="52">
        <f>'Core A'!M7</f>
        <v>17439</v>
      </c>
      <c r="M19" s="52">
        <f>'Core A'!N7</f>
        <v>4330.1036999999997</v>
      </c>
      <c r="N19" s="50">
        <f t="shared" si="0"/>
        <v>108844.85370000001</v>
      </c>
    </row>
    <row r="20" spans="1:15" x14ac:dyDescent="0.25">
      <c r="A20" s="46" t="s">
        <v>115</v>
      </c>
      <c r="B20" s="51">
        <f>'Core A'!C8</f>
        <v>2.5000000000000001E-2</v>
      </c>
      <c r="C20" s="51">
        <f>'Core A'!D8</f>
        <v>0.24829999999999999</v>
      </c>
      <c r="D20" s="52">
        <f>'Core A'!E8</f>
        <v>4982.5</v>
      </c>
      <c r="E20" s="52">
        <f>'Core A'!F8</f>
        <v>1237</v>
      </c>
      <c r="F20" s="52">
        <f>'Core A'!G8</f>
        <v>4983</v>
      </c>
      <c r="G20" s="52">
        <f>'Core A'!H8</f>
        <v>1237</v>
      </c>
      <c r="H20" s="52">
        <f>'Core A'!I8</f>
        <v>4983</v>
      </c>
      <c r="I20" s="52">
        <f>'Core A'!J8</f>
        <v>1237</v>
      </c>
      <c r="J20" s="52">
        <f>'Core A'!K8</f>
        <v>4983</v>
      </c>
      <c r="K20" s="52">
        <f>'Core A'!L8</f>
        <v>1237</v>
      </c>
      <c r="L20" s="52">
        <f>'Core A'!M8</f>
        <v>4983</v>
      </c>
      <c r="M20" s="52">
        <f>'Core A'!N8</f>
        <v>1237.2789</v>
      </c>
      <c r="N20" s="50">
        <f t="shared" si="0"/>
        <v>31099.778900000001</v>
      </c>
    </row>
    <row r="21" spans="1:15" x14ac:dyDescent="0.25">
      <c r="A21" s="46" t="s">
        <v>116</v>
      </c>
      <c r="B21" s="51">
        <f>'Core A'!C9</f>
        <v>0.3</v>
      </c>
      <c r="C21" s="51">
        <f>'Core A'!D9</f>
        <v>0.37630000000000002</v>
      </c>
      <c r="D21" s="52">
        <f>'Core A'!E9</f>
        <v>10450.199999999999</v>
      </c>
      <c r="E21" s="52">
        <f>'Core A'!F9</f>
        <v>3932</v>
      </c>
      <c r="F21" s="52">
        <f>'Core A'!G9</f>
        <v>10450</v>
      </c>
      <c r="G21" s="52">
        <f>'Core A'!H9</f>
        <v>3932</v>
      </c>
      <c r="H21" s="52">
        <f>'Core A'!I9</f>
        <v>10450</v>
      </c>
      <c r="I21" s="52">
        <f>'Core A'!J9</f>
        <v>3932</v>
      </c>
      <c r="J21" s="52">
        <f>'Core A'!K9</f>
        <v>10450</v>
      </c>
      <c r="K21" s="52">
        <f>'Core A'!L9</f>
        <v>3932</v>
      </c>
      <c r="L21" s="52">
        <f>'Core A'!M9</f>
        <v>10450</v>
      </c>
      <c r="M21" s="52">
        <f>'Core A'!N9</f>
        <v>3932.335</v>
      </c>
      <c r="N21" s="50">
        <f t="shared" si="0"/>
        <v>71910.535000000003</v>
      </c>
    </row>
    <row r="22" spans="1:15" x14ac:dyDescent="0.25">
      <c r="A22" s="46" t="s">
        <v>116</v>
      </c>
      <c r="B22" s="51">
        <f>'Core A'!C10</f>
        <v>0.2</v>
      </c>
      <c r="C22" s="51">
        <f>'Core A'!D10</f>
        <v>0.37630000000000002</v>
      </c>
      <c r="D22" s="52">
        <f>'Core A'!E10</f>
        <v>16225.2</v>
      </c>
      <c r="E22" s="52">
        <f>'Core A'!F10</f>
        <v>6106</v>
      </c>
      <c r="F22" s="52">
        <f>'Core A'!G10</f>
        <v>16225</v>
      </c>
      <c r="G22" s="52">
        <f>'Core A'!H10</f>
        <v>6105</v>
      </c>
      <c r="H22" s="52">
        <f>'Core A'!I10</f>
        <v>16225</v>
      </c>
      <c r="I22" s="52">
        <f>'Core A'!J10</f>
        <v>6105</v>
      </c>
      <c r="J22" s="52">
        <f>'Core A'!K10</f>
        <v>16225</v>
      </c>
      <c r="K22" s="52">
        <f>'Core A'!L10</f>
        <v>6105</v>
      </c>
      <c r="L22" s="52">
        <f>'Core A'!M10</f>
        <v>16225</v>
      </c>
      <c r="M22" s="52">
        <f>'Core A'!N10</f>
        <v>6105.4675000000007</v>
      </c>
      <c r="N22" s="50">
        <f t="shared" si="0"/>
        <v>111651.6675</v>
      </c>
    </row>
    <row r="23" spans="1:15" x14ac:dyDescent="0.25">
      <c r="A23" s="46" t="s">
        <v>117</v>
      </c>
      <c r="B23" s="51">
        <f>'Core A'!C11</f>
        <v>0.5</v>
      </c>
      <c r="C23" s="51">
        <f>'Core A'!D11</f>
        <v>0.37630000000000002</v>
      </c>
      <c r="D23" s="52">
        <f>'Core A'!E11</f>
        <v>25000</v>
      </c>
      <c r="E23" s="52">
        <f>'Core A'!F11</f>
        <v>9408</v>
      </c>
      <c r="F23" s="52">
        <f>'Core A'!G11</f>
        <v>25000</v>
      </c>
      <c r="G23" s="52">
        <f>'Core A'!H11</f>
        <v>9408</v>
      </c>
      <c r="H23" s="52">
        <f>'Core A'!I11</f>
        <v>25000</v>
      </c>
      <c r="I23" s="52">
        <f>'Core A'!J11</f>
        <v>9408</v>
      </c>
      <c r="J23" s="52">
        <f>'Core A'!K11</f>
        <v>25000</v>
      </c>
      <c r="K23" s="52">
        <f>'Core A'!L11</f>
        <v>9408</v>
      </c>
      <c r="L23" s="52">
        <f>'Core A'!M11</f>
        <v>25000</v>
      </c>
      <c r="M23" s="52">
        <f>'Core A'!N11</f>
        <v>9407.5</v>
      </c>
      <c r="N23" s="50">
        <f t="shared" si="0"/>
        <v>172039.5</v>
      </c>
    </row>
    <row r="24" spans="1:15" x14ac:dyDescent="0.25">
      <c r="A24" s="46" t="s">
        <v>118</v>
      </c>
      <c r="B24" s="51">
        <f>'Core B'!C5</f>
        <v>0.2</v>
      </c>
      <c r="C24" s="51">
        <f>'Core B'!D5</f>
        <v>0.24829999999999999</v>
      </c>
      <c r="D24" s="52">
        <f>'Core B'!E5</f>
        <v>39860</v>
      </c>
      <c r="E24" s="52">
        <f>'Core B'!F5</f>
        <v>9897</v>
      </c>
      <c r="F24" s="52">
        <f>'Core B'!G5</f>
        <v>39860</v>
      </c>
      <c r="G24" s="52">
        <f>'Core B'!H5</f>
        <v>9897</v>
      </c>
      <c r="H24" s="52">
        <f>'Core B'!I5</f>
        <v>39860</v>
      </c>
      <c r="I24" s="52">
        <f>'Core B'!J5</f>
        <v>9897</v>
      </c>
      <c r="J24" s="52">
        <f>'Core B'!K5</f>
        <v>39860</v>
      </c>
      <c r="K24" s="52">
        <f>'Core B'!L5</f>
        <v>9897</v>
      </c>
      <c r="L24" s="52">
        <f>'Core B'!M5</f>
        <v>39860</v>
      </c>
      <c r="M24" s="52">
        <f>'Core B'!N5</f>
        <v>9897.2379999999994</v>
      </c>
      <c r="N24" s="50">
        <f t="shared" si="0"/>
        <v>248785.23800000001</v>
      </c>
    </row>
    <row r="25" spans="1:15" x14ac:dyDescent="0.25">
      <c r="A25" s="46" t="s">
        <v>119</v>
      </c>
      <c r="B25" s="51">
        <f>'Core B'!C6</f>
        <v>2.5000000000000001E-2</v>
      </c>
      <c r="C25" s="51">
        <f>'Core B'!D6</f>
        <v>0.24829999999999999</v>
      </c>
      <c r="D25" s="52">
        <f>'Core B'!E6</f>
        <v>4982.5</v>
      </c>
      <c r="E25" s="52">
        <f>'Core B'!F6</f>
        <v>1237</v>
      </c>
      <c r="F25" s="52">
        <f>'Core B'!G6</f>
        <v>4983</v>
      </c>
      <c r="G25" s="52">
        <f>'Core B'!H6</f>
        <v>1237</v>
      </c>
      <c r="H25" s="52">
        <f>'Core B'!I6</f>
        <v>4983</v>
      </c>
      <c r="I25" s="52">
        <f>'Core B'!J6</f>
        <v>1237</v>
      </c>
      <c r="J25" s="52">
        <f>'Core B'!K6</f>
        <v>4983</v>
      </c>
      <c r="K25" s="52">
        <f>'Core B'!L6</f>
        <v>1237</v>
      </c>
      <c r="L25" s="52">
        <f>'Core B'!M6</f>
        <v>4983</v>
      </c>
      <c r="M25" s="52">
        <f>'Core B'!N6</f>
        <v>1237.2789</v>
      </c>
      <c r="N25" s="50">
        <f t="shared" si="0"/>
        <v>31099.778900000001</v>
      </c>
    </row>
    <row r="26" spans="1:15" x14ac:dyDescent="0.25">
      <c r="A26" s="46" t="s">
        <v>120</v>
      </c>
      <c r="B26" s="51">
        <f>'Core B'!C7</f>
        <v>0.5</v>
      </c>
      <c r="C26" s="51">
        <f>'Core B'!D7</f>
        <v>0.2671</v>
      </c>
      <c r="D26" s="52">
        <f>'Core B'!E7</f>
        <v>0</v>
      </c>
      <c r="E26" s="52">
        <f>'Core B'!F7</f>
        <v>0</v>
      </c>
      <c r="F26" s="52">
        <f>'Core B'!G7</f>
        <v>13899</v>
      </c>
      <c r="G26" s="52">
        <f>'Core B'!H7</f>
        <v>3712</v>
      </c>
      <c r="H26" s="52">
        <f>'Core B'!I7</f>
        <v>27798</v>
      </c>
      <c r="I26" s="52">
        <f>'Core B'!J7</f>
        <v>7425</v>
      </c>
      <c r="J26" s="52">
        <f>'Core B'!K7</f>
        <v>27798</v>
      </c>
      <c r="K26" s="52">
        <f>'Core B'!L7</f>
        <v>7425</v>
      </c>
      <c r="L26" s="52">
        <f>'Core B'!M7</f>
        <v>27798</v>
      </c>
      <c r="M26" s="52">
        <f>'Core B'!N7</f>
        <v>7424.8458000000001</v>
      </c>
      <c r="N26" s="50">
        <f t="shared" si="0"/>
        <v>123279.8458</v>
      </c>
    </row>
    <row r="27" spans="1:15" x14ac:dyDescent="0.25">
      <c r="A27" s="46" t="s">
        <v>121</v>
      </c>
      <c r="B27" s="51">
        <f>'Core B'!C8</f>
        <v>0.5</v>
      </c>
      <c r="C27" s="51">
        <f>'Core B'!D8</f>
        <v>0.37630000000000002</v>
      </c>
      <c r="D27" s="52">
        <f>'Core B'!E8</f>
        <v>28532.5</v>
      </c>
      <c r="E27" s="52">
        <f>'Core B'!F8</f>
        <v>10737</v>
      </c>
      <c r="F27" s="52">
        <f>'Core B'!G8</f>
        <v>28533</v>
      </c>
      <c r="G27" s="52">
        <f>'Core B'!H8</f>
        <v>10737</v>
      </c>
      <c r="H27" s="52">
        <f>'Core B'!I8</f>
        <v>28533</v>
      </c>
      <c r="I27" s="52">
        <f>'Core B'!J8</f>
        <v>10737</v>
      </c>
      <c r="J27" s="52">
        <f>'Core B'!K8</f>
        <v>28533</v>
      </c>
      <c r="K27" s="52">
        <f>'Core B'!L8</f>
        <v>10737</v>
      </c>
      <c r="L27" s="52">
        <f>'Core B'!M8</f>
        <v>28533</v>
      </c>
      <c r="M27" s="52">
        <f>'Core B'!N8</f>
        <v>10736.967900000001</v>
      </c>
      <c r="N27" s="50">
        <f t="shared" si="0"/>
        <v>196349.46789999999</v>
      </c>
    </row>
    <row r="28" spans="1:15" x14ac:dyDescent="0.25">
      <c r="A28" s="44" t="s">
        <v>121</v>
      </c>
      <c r="B28" s="51">
        <f>'Core B'!C9</f>
        <v>0.15</v>
      </c>
      <c r="C28" s="51">
        <f>'Core B'!D9</f>
        <v>0.37630000000000002</v>
      </c>
      <c r="D28" s="52">
        <f>'Core B'!E9</f>
        <v>0</v>
      </c>
      <c r="E28" s="52">
        <f>'Core B'!F9</f>
        <v>0</v>
      </c>
      <c r="F28" s="52">
        <f>'Core B'!G9</f>
        <v>5400</v>
      </c>
      <c r="G28" s="52">
        <f>'Core B'!H9</f>
        <v>2032</v>
      </c>
      <c r="H28" s="52">
        <f>'Core B'!I9</f>
        <v>5400</v>
      </c>
      <c r="I28" s="52">
        <f>'Core B'!J9</f>
        <v>2032</v>
      </c>
      <c r="J28" s="52">
        <f>'Core B'!K9</f>
        <v>5400</v>
      </c>
      <c r="K28" s="52">
        <f>'Core B'!L9</f>
        <v>2032</v>
      </c>
      <c r="L28" s="52">
        <f>'Core B'!M9</f>
        <v>5400</v>
      </c>
      <c r="M28" s="52">
        <f>'Core B'!N9</f>
        <v>2032.0200000000002</v>
      </c>
      <c r="N28" s="50">
        <f t="shared" si="0"/>
        <v>29728.02</v>
      </c>
    </row>
    <row r="29" spans="1:15" x14ac:dyDescent="0.25">
      <c r="C29" s="45" t="s">
        <v>12</v>
      </c>
      <c r="D29" s="39">
        <f>SUM(D4:D28)+SUM(E4:E28)</f>
        <v>810033.95</v>
      </c>
      <c r="E29" s="48"/>
      <c r="F29" s="39">
        <f>SUM(F4:F28)+SUM(G4:G28)</f>
        <v>835077.05</v>
      </c>
      <c r="G29" s="48"/>
      <c r="H29" s="39">
        <f>SUM(H4:H28)+SUM(I4:I28)</f>
        <v>852689.05</v>
      </c>
      <c r="I29" s="48"/>
      <c r="J29" s="39">
        <f>SUM(J4:J28)+SUM(K4:K28)</f>
        <v>852689.05</v>
      </c>
      <c r="K29" s="48"/>
      <c r="L29" s="39">
        <f>SUM(L4:L28)+SUM(M4:M28)</f>
        <v>852688.65441500011</v>
      </c>
      <c r="M29" s="48"/>
      <c r="N29" s="39">
        <f>SUM(D29:M29)</f>
        <v>4203177.7544149999</v>
      </c>
      <c r="O29" s="103"/>
    </row>
    <row r="30" spans="1:15" x14ac:dyDescent="0.25">
      <c r="A30" s="75" t="s">
        <v>13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54"/>
    </row>
    <row r="31" spans="1:15" x14ac:dyDescent="0.25">
      <c r="A31" s="46" t="s">
        <v>21</v>
      </c>
      <c r="B31" s="71"/>
      <c r="C31" s="71"/>
      <c r="D31" s="54">
        <f>'Project 1'!E12</f>
        <v>26100</v>
      </c>
      <c r="E31" s="71"/>
      <c r="F31" s="54">
        <f>'Project 1'!G12</f>
        <v>26100</v>
      </c>
      <c r="G31" s="71"/>
      <c r="H31" s="54">
        <f>'Project 1'!I12</f>
        <v>26100</v>
      </c>
      <c r="I31" s="71"/>
      <c r="J31" s="54">
        <f>'Project 1'!K12</f>
        <v>26100</v>
      </c>
      <c r="K31" s="71"/>
      <c r="L31" s="54">
        <f>'Project 1'!M12</f>
        <v>26100</v>
      </c>
      <c r="M31" s="71"/>
      <c r="N31" s="54">
        <f>SUM(D31:M31)</f>
        <v>130500</v>
      </c>
    </row>
    <row r="32" spans="1:15" x14ac:dyDescent="0.25">
      <c r="A32" s="46" t="s">
        <v>22</v>
      </c>
      <c r="B32" s="71"/>
      <c r="C32" s="71"/>
      <c r="D32" s="54">
        <f>'Project 2'!E17</f>
        <v>80000</v>
      </c>
      <c r="E32" s="71"/>
      <c r="F32" s="54">
        <f>'Project 2'!G17</f>
        <v>80000</v>
      </c>
      <c r="G32" s="71"/>
      <c r="H32" s="54">
        <f>'Project 2'!I17</f>
        <v>80000</v>
      </c>
      <c r="I32" s="71"/>
      <c r="J32" s="54">
        <f>'Project 2'!K17</f>
        <v>80000</v>
      </c>
      <c r="K32" s="71"/>
      <c r="L32" s="54">
        <f>'Project 2'!M17</f>
        <v>80000</v>
      </c>
      <c r="M32" s="71"/>
      <c r="N32" s="54">
        <f t="shared" ref="N32:N35" si="1">SUM(D32:M32)</f>
        <v>400000</v>
      </c>
    </row>
    <row r="33" spans="1:14" x14ac:dyDescent="0.25">
      <c r="A33" s="46" t="s">
        <v>23</v>
      </c>
      <c r="B33" s="71"/>
      <c r="C33" s="71"/>
      <c r="D33" s="54">
        <f>'Project 3'!E18</f>
        <v>102700</v>
      </c>
      <c r="E33" s="71"/>
      <c r="F33" s="54">
        <f>'Project 3'!G18</f>
        <v>102700</v>
      </c>
      <c r="G33" s="71"/>
      <c r="H33" s="54">
        <f>'Project 3'!I18</f>
        <v>102700</v>
      </c>
      <c r="I33" s="71"/>
      <c r="J33" s="54">
        <f>'Project 3'!K18</f>
        <v>102700</v>
      </c>
      <c r="K33" s="71"/>
      <c r="L33" s="54">
        <f>'Project 3'!M18</f>
        <v>102700</v>
      </c>
      <c r="M33" s="71"/>
      <c r="N33" s="54">
        <f t="shared" si="1"/>
        <v>513500</v>
      </c>
    </row>
    <row r="34" spans="1:14" x14ac:dyDescent="0.25">
      <c r="A34" s="46" t="s">
        <v>78</v>
      </c>
      <c r="B34" s="71"/>
      <c r="C34" s="71"/>
      <c r="D34" s="54">
        <f>'Core A'!E16</f>
        <v>7060</v>
      </c>
      <c r="E34" s="71"/>
      <c r="F34" s="54">
        <f>'Core A'!G16</f>
        <v>7060</v>
      </c>
      <c r="G34" s="71"/>
      <c r="H34" s="54">
        <f>'Core A'!I16</f>
        <v>7060</v>
      </c>
      <c r="I34" s="71"/>
      <c r="J34" s="54">
        <f>'Core A'!K16</f>
        <v>7060</v>
      </c>
      <c r="K34" s="71"/>
      <c r="L34" s="54">
        <f>'Core A'!M16</f>
        <v>7060</v>
      </c>
      <c r="M34" s="71"/>
      <c r="N34" s="54">
        <f t="shared" si="1"/>
        <v>35300</v>
      </c>
    </row>
    <row r="35" spans="1:14" x14ac:dyDescent="0.25">
      <c r="A35" s="46" t="s">
        <v>79</v>
      </c>
      <c r="B35" s="71"/>
      <c r="C35" s="71"/>
      <c r="D35" s="54">
        <f>'Core B'!E19</f>
        <v>156000</v>
      </c>
      <c r="E35" s="71"/>
      <c r="F35" s="54">
        <f>'Core B'!G19</f>
        <v>108500</v>
      </c>
      <c r="G35" s="71"/>
      <c r="H35" s="54">
        <f>'Core B'!I19</f>
        <v>93500</v>
      </c>
      <c r="I35" s="71"/>
      <c r="J35" s="54">
        <f>'Core B'!K19</f>
        <v>93500</v>
      </c>
      <c r="K35" s="71"/>
      <c r="L35" s="54">
        <f>'Core B'!M19</f>
        <v>93500</v>
      </c>
      <c r="M35" s="71"/>
      <c r="N35" s="54">
        <f t="shared" si="1"/>
        <v>545000</v>
      </c>
    </row>
    <row r="36" spans="1:14" x14ac:dyDescent="0.25">
      <c r="A36" s="76"/>
      <c r="B36" s="71"/>
      <c r="C36" s="77" t="s">
        <v>14</v>
      </c>
      <c r="D36" s="43">
        <f>SUM(D31:D35)</f>
        <v>371860</v>
      </c>
      <c r="E36" s="78"/>
      <c r="F36" s="43">
        <f>SUM(F31:F35)</f>
        <v>324360</v>
      </c>
      <c r="G36" s="78"/>
      <c r="H36" s="43">
        <f>SUM(H31:H35)</f>
        <v>309360</v>
      </c>
      <c r="I36" s="78"/>
      <c r="J36" s="43">
        <f>SUM(J31:J35)</f>
        <v>309360</v>
      </c>
      <c r="K36" s="71"/>
      <c r="L36" s="43">
        <f>SUM(L31:L35)</f>
        <v>309360</v>
      </c>
      <c r="M36" s="71"/>
      <c r="N36" s="43">
        <f>SUM(D36:M36)</f>
        <v>1624300</v>
      </c>
    </row>
    <row r="37" spans="1:14" x14ac:dyDescent="0.25">
      <c r="A37" s="79" t="s">
        <v>56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54"/>
    </row>
    <row r="38" spans="1:14" x14ac:dyDescent="0.25">
      <c r="A38" s="46" t="s">
        <v>21</v>
      </c>
      <c r="B38" s="71"/>
      <c r="C38" s="71"/>
      <c r="D38" s="54">
        <f>'Project 1'!E15</f>
        <v>3300</v>
      </c>
      <c r="E38" s="71"/>
      <c r="F38" s="54">
        <f>'Project 1'!G15</f>
        <v>3300</v>
      </c>
      <c r="G38" s="71"/>
      <c r="H38" s="54">
        <f>'Project 1'!I15</f>
        <v>3300</v>
      </c>
      <c r="I38" s="71"/>
      <c r="J38" s="54">
        <f>'Project 1'!K15</f>
        <v>3300</v>
      </c>
      <c r="K38" s="71"/>
      <c r="L38" s="54">
        <f>'Project 1'!M15</f>
        <v>3300</v>
      </c>
      <c r="M38" s="71"/>
      <c r="N38" s="54">
        <f>SUM(D38:M38)</f>
        <v>16500</v>
      </c>
    </row>
    <row r="39" spans="1:14" x14ac:dyDescent="0.25">
      <c r="A39" s="46" t="s">
        <v>22</v>
      </c>
      <c r="B39" s="71"/>
      <c r="C39" s="71"/>
      <c r="D39" s="54">
        <f>'Project 2'!E23</f>
        <v>1500</v>
      </c>
      <c r="E39" s="71"/>
      <c r="F39" s="54">
        <f>'Project 2'!G23</f>
        <v>1500</v>
      </c>
      <c r="G39" s="71"/>
      <c r="H39" s="54">
        <f>'Project 2'!I23</f>
        <v>1500</v>
      </c>
      <c r="I39" s="71"/>
      <c r="J39" s="54">
        <f>'Project 2'!K23</f>
        <v>1500</v>
      </c>
      <c r="K39" s="71"/>
      <c r="L39" s="54">
        <f>'Project 2'!M23</f>
        <v>1500</v>
      </c>
      <c r="M39" s="71"/>
      <c r="N39" s="54">
        <f t="shared" ref="N39:N42" si="2">SUM(D39:M39)</f>
        <v>7500</v>
      </c>
    </row>
    <row r="40" spans="1:14" x14ac:dyDescent="0.25">
      <c r="A40" s="46" t="s">
        <v>23</v>
      </c>
      <c r="B40" s="71"/>
      <c r="C40" s="71"/>
      <c r="D40" s="54">
        <f>'Project 3'!E28</f>
        <v>27465</v>
      </c>
      <c r="E40" s="71"/>
      <c r="F40" s="54">
        <f>'Project 3'!G28</f>
        <v>27465</v>
      </c>
      <c r="G40" s="71"/>
      <c r="H40" s="54">
        <f>'Project 3'!I28</f>
        <v>27465</v>
      </c>
      <c r="I40" s="71"/>
      <c r="J40" s="54">
        <f>'Project 3'!K28</f>
        <v>27465</v>
      </c>
      <c r="K40" s="71"/>
      <c r="L40" s="54">
        <f>'Project 3'!M28</f>
        <v>27465</v>
      </c>
      <c r="M40" s="71"/>
      <c r="N40" s="54">
        <f t="shared" si="2"/>
        <v>137325</v>
      </c>
    </row>
    <row r="41" spans="1:14" x14ac:dyDescent="0.25">
      <c r="A41" s="46" t="s">
        <v>78</v>
      </c>
      <c r="B41" s="71"/>
      <c r="C41" s="71"/>
      <c r="D41" s="54">
        <f>'Core A'!E22</f>
        <v>342</v>
      </c>
      <c r="E41" s="71"/>
      <c r="F41" s="54">
        <f>'Core A'!G22</f>
        <v>342</v>
      </c>
      <c r="G41" s="71"/>
      <c r="H41" s="54">
        <f>'Core A'!I22</f>
        <v>342</v>
      </c>
      <c r="I41" s="71"/>
      <c r="J41" s="54">
        <f>'Core A'!K22</f>
        <v>342</v>
      </c>
      <c r="K41" s="71"/>
      <c r="L41" s="54">
        <f>'Core A'!M22</f>
        <v>342</v>
      </c>
      <c r="M41" s="71"/>
      <c r="N41" s="54">
        <f t="shared" si="2"/>
        <v>1710</v>
      </c>
    </row>
    <row r="42" spans="1:14" x14ac:dyDescent="0.25">
      <c r="A42" s="46" t="s">
        <v>79</v>
      </c>
      <c r="B42" s="71"/>
      <c r="C42" s="71"/>
      <c r="D42" s="54"/>
      <c r="E42" s="71"/>
      <c r="F42" s="54"/>
      <c r="G42" s="71"/>
      <c r="H42" s="54"/>
      <c r="I42" s="71"/>
      <c r="J42" s="54"/>
      <c r="K42" s="71"/>
      <c r="L42" s="54"/>
      <c r="M42" s="71"/>
      <c r="N42" s="54">
        <f t="shared" si="2"/>
        <v>0</v>
      </c>
    </row>
    <row r="43" spans="1:14" x14ac:dyDescent="0.25">
      <c r="A43" s="80"/>
      <c r="B43" s="71"/>
      <c r="C43" s="77" t="s">
        <v>62</v>
      </c>
      <c r="D43" s="43">
        <f>SUM(D38:D42)</f>
        <v>32607</v>
      </c>
      <c r="E43" s="78"/>
      <c r="F43" s="43">
        <f>SUM(F38:F42)</f>
        <v>32607</v>
      </c>
      <c r="G43" s="78"/>
      <c r="H43" s="43">
        <f>SUM(H38:H42)</f>
        <v>32607</v>
      </c>
      <c r="I43" s="78"/>
      <c r="J43" s="43">
        <f>SUM(J38:J42)</f>
        <v>32607</v>
      </c>
      <c r="K43" s="78"/>
      <c r="L43" s="43">
        <f>SUM(L38:L42)</f>
        <v>32607</v>
      </c>
      <c r="M43" s="78"/>
      <c r="N43" s="43">
        <f>SUM(D43:M43)</f>
        <v>163035</v>
      </c>
    </row>
    <row r="44" spans="1:14" x14ac:dyDescent="0.25">
      <c r="A44" s="1" t="s">
        <v>19</v>
      </c>
      <c r="D44" s="53"/>
      <c r="F44" s="53"/>
      <c r="H44" s="53"/>
      <c r="J44" s="53"/>
      <c r="L44" s="53"/>
      <c r="N44" s="52"/>
    </row>
    <row r="45" spans="1:14" x14ac:dyDescent="0.25">
      <c r="A45" s="46" t="s">
        <v>21</v>
      </c>
      <c r="D45" s="52">
        <f>'Project 1'!E14</f>
        <v>1500</v>
      </c>
      <c r="F45" s="52">
        <f>'Project 1'!G14</f>
        <v>1500</v>
      </c>
      <c r="H45" s="52">
        <f>'Project 1'!I14</f>
        <v>1500</v>
      </c>
      <c r="J45" s="52">
        <f>'Project 1'!K14</f>
        <v>1500</v>
      </c>
      <c r="L45" s="52">
        <f>'Project 1'!M14</f>
        <v>1500</v>
      </c>
      <c r="N45" s="52">
        <f>SUM(D45:M45)</f>
        <v>7500</v>
      </c>
    </row>
    <row r="46" spans="1:14" x14ac:dyDescent="0.25">
      <c r="A46" s="46" t="s">
        <v>22</v>
      </c>
      <c r="D46" s="52">
        <f>'Project 2'!E18</f>
        <v>5600</v>
      </c>
      <c r="F46" s="52">
        <f>'Project 2'!G18</f>
        <v>3600</v>
      </c>
      <c r="H46" s="52">
        <f>'Project 2'!I18</f>
        <v>1000</v>
      </c>
      <c r="J46" s="52">
        <f>'Project 2'!K18</f>
        <v>1000</v>
      </c>
      <c r="L46" s="52">
        <f>'Project 2'!M18</f>
        <v>1000</v>
      </c>
      <c r="N46" s="52">
        <f t="shared" ref="N46:N49" si="3">SUM(D46:M46)</f>
        <v>12200</v>
      </c>
    </row>
    <row r="47" spans="1:14" x14ac:dyDescent="0.25">
      <c r="A47" s="46" t="s">
        <v>23</v>
      </c>
      <c r="D47" s="52">
        <f>'Project 3'!E20</f>
        <v>3000</v>
      </c>
      <c r="F47" s="52">
        <f>'Project 3'!G20</f>
        <v>3000</v>
      </c>
      <c r="H47" s="52">
        <f>'Project 3'!I20</f>
        <v>3000</v>
      </c>
      <c r="J47" s="52">
        <f>'Project 3'!K20</f>
        <v>3000</v>
      </c>
      <c r="L47" s="52">
        <f>'Project 3'!M20</f>
        <v>3000</v>
      </c>
      <c r="N47" s="52">
        <f t="shared" si="3"/>
        <v>15000</v>
      </c>
    </row>
    <row r="48" spans="1:14" x14ac:dyDescent="0.25">
      <c r="A48" s="46" t="s">
        <v>78</v>
      </c>
      <c r="D48" s="52">
        <f>'Core A'!E18</f>
        <v>2500</v>
      </c>
      <c r="F48" s="52">
        <f>'Core A'!G18</f>
        <v>2500</v>
      </c>
      <c r="H48" s="52">
        <f>'Core A'!I18</f>
        <v>2500</v>
      </c>
      <c r="J48" s="52">
        <f>'Core A'!K18</f>
        <v>2500</v>
      </c>
      <c r="L48" s="52">
        <f>'Core A'!M18</f>
        <v>2500</v>
      </c>
      <c r="N48" s="52">
        <f t="shared" si="3"/>
        <v>12500</v>
      </c>
    </row>
    <row r="49" spans="1:18" x14ac:dyDescent="0.25">
      <c r="A49" s="46" t="s">
        <v>79</v>
      </c>
      <c r="D49" s="52">
        <f>'Core B'!E21</f>
        <v>0</v>
      </c>
      <c r="F49" s="52">
        <f>'Core B'!G21</f>
        <v>0</v>
      </c>
      <c r="H49" s="52">
        <f>'Core B'!I21</f>
        <v>0</v>
      </c>
      <c r="J49" s="52">
        <f>'Core B'!K21</f>
        <v>0</v>
      </c>
      <c r="L49" s="52">
        <f>'Core B'!M21</f>
        <v>0</v>
      </c>
      <c r="N49" s="52">
        <f t="shared" si="3"/>
        <v>0</v>
      </c>
    </row>
    <row r="50" spans="1:18" x14ac:dyDescent="0.25">
      <c r="C50" s="45" t="s">
        <v>25</v>
      </c>
      <c r="D50" s="43">
        <f>SUM(D45:D49)</f>
        <v>12600</v>
      </c>
      <c r="E50" s="48"/>
      <c r="F50" s="43">
        <f>SUM(F45:F49)</f>
        <v>10600</v>
      </c>
      <c r="G50" s="48"/>
      <c r="H50" s="43">
        <f>SUM(H45:H49)</f>
        <v>8000</v>
      </c>
      <c r="I50" s="48"/>
      <c r="J50" s="43">
        <f>SUM(J45:J49)</f>
        <v>8000</v>
      </c>
      <c r="K50" s="48"/>
      <c r="L50" s="43">
        <f>SUM(L45:L49)</f>
        <v>8000</v>
      </c>
      <c r="M50" s="48"/>
      <c r="N50" s="43">
        <f>SUM(D50:M50)</f>
        <v>47200</v>
      </c>
    </row>
    <row r="51" spans="1:18" x14ac:dyDescent="0.25">
      <c r="A51" s="48" t="s">
        <v>24</v>
      </c>
      <c r="D51" s="53"/>
      <c r="F51" s="53"/>
      <c r="H51" s="53"/>
      <c r="J51" s="53"/>
      <c r="L51" s="53"/>
      <c r="N51" s="52"/>
    </row>
    <row r="52" spans="1:18" x14ac:dyDescent="0.25">
      <c r="A52" s="46" t="s">
        <v>124</v>
      </c>
      <c r="D52" s="52">
        <f>Subcontract!E26</f>
        <v>423705.48</v>
      </c>
      <c r="F52" s="52">
        <f>Subcontract!G26</f>
        <v>418785.48</v>
      </c>
      <c r="H52" s="52">
        <f>Subcontract!I26</f>
        <v>418785.48</v>
      </c>
      <c r="J52" s="52">
        <f>Subcontract!K26</f>
        <v>418785.48</v>
      </c>
      <c r="L52" s="52">
        <f>Subcontract!M26</f>
        <v>418783.43040000007</v>
      </c>
      <c r="N52" s="52">
        <f>SUM(D52:M52)</f>
        <v>2098845.3503999999</v>
      </c>
      <c r="O52" s="47"/>
    </row>
    <row r="53" spans="1:18" x14ac:dyDescent="0.25">
      <c r="C53" s="45" t="s">
        <v>26</v>
      </c>
      <c r="D53" s="43">
        <f>SUM(D52:D52)</f>
        <v>423705.48</v>
      </c>
      <c r="E53" s="48"/>
      <c r="F53" s="43">
        <f>SUM(F52:F52)</f>
        <v>418785.48</v>
      </c>
      <c r="G53" s="48"/>
      <c r="H53" s="43">
        <f>SUM(H52:H52)</f>
        <v>418785.48</v>
      </c>
      <c r="I53" s="48"/>
      <c r="J53" s="43">
        <f>SUM(J52:J52)</f>
        <v>418785.48</v>
      </c>
      <c r="K53" s="48"/>
      <c r="L53" s="43">
        <f>SUM(L52:L52)</f>
        <v>418783.43040000007</v>
      </c>
      <c r="M53" s="48"/>
      <c r="N53" s="43">
        <f>SUM(D53:M53)</f>
        <v>2098845.3503999999</v>
      </c>
      <c r="P53" s="47"/>
      <c r="Q53" s="47"/>
      <c r="R53" s="47"/>
    </row>
    <row r="54" spans="1:18" x14ac:dyDescent="0.25">
      <c r="C54" s="45" t="s">
        <v>27</v>
      </c>
      <c r="D54" s="43">
        <f>SUM(D29,D36,D43,D50,D53)</f>
        <v>1650806.43</v>
      </c>
      <c r="E54" s="48"/>
      <c r="F54" s="43">
        <f>SUM(F29,F36,F43,F50,F53)</f>
        <v>1621429.53</v>
      </c>
      <c r="G54" s="48"/>
      <c r="H54" s="43">
        <f>SUM(H29,H36,H43,H50,H53)</f>
        <v>1621441.53</v>
      </c>
      <c r="I54" s="48"/>
      <c r="J54" s="43">
        <f>SUM(J29,J36,J43,J50,J53)</f>
        <v>1621441.53</v>
      </c>
      <c r="K54" s="48"/>
      <c r="L54" s="43">
        <f>SUM(L29,L36,L43,L50,L53)</f>
        <v>1621439.0848150002</v>
      </c>
      <c r="M54" s="48"/>
      <c r="N54" s="43">
        <f>SUM(D54:M54)</f>
        <v>8136558.1048150007</v>
      </c>
      <c r="P54" s="47"/>
      <c r="Q54" s="47"/>
      <c r="R54" s="47"/>
    </row>
    <row r="55" spans="1:18" x14ac:dyDescent="0.25">
      <c r="A55" s="83"/>
      <c r="B55" s="83"/>
      <c r="C55" s="84" t="s">
        <v>80</v>
      </c>
      <c r="D55" s="85">
        <f>D54-Subcontract!E25</f>
        <v>1485457.95</v>
      </c>
      <c r="E55" s="86"/>
      <c r="F55" s="85">
        <f>F54-Subcontract!G25</f>
        <v>1458001.05</v>
      </c>
      <c r="G55" s="86"/>
      <c r="H55" s="85">
        <f>H54-Subcontract!I25</f>
        <v>1458013.05</v>
      </c>
      <c r="I55" s="86"/>
      <c r="J55" s="85">
        <f>J54-Subcontract!K25</f>
        <v>1458013.05</v>
      </c>
      <c r="K55" s="86"/>
      <c r="L55" s="85">
        <f>L54-Subcontract!M25</f>
        <v>1458012.0144150001</v>
      </c>
      <c r="M55" s="86"/>
      <c r="N55" s="85">
        <f>SUM(D55:M55)</f>
        <v>7317497.1144149993</v>
      </c>
      <c r="P55" s="47"/>
      <c r="Q55" s="47"/>
      <c r="R55" s="47"/>
    </row>
    <row r="56" spans="1:18" x14ac:dyDescent="0.25">
      <c r="C56" s="45" t="s">
        <v>28</v>
      </c>
      <c r="D56" s="52">
        <f>D54-D53+25000</f>
        <v>1252100.95</v>
      </c>
      <c r="F56" s="52">
        <f>F54-F53</f>
        <v>1202644.05</v>
      </c>
      <c r="H56" s="52">
        <f>H54-H53</f>
        <v>1202656.05</v>
      </c>
      <c r="J56" s="52">
        <f>J54-J53</f>
        <v>1202656.05</v>
      </c>
      <c r="L56" s="52">
        <f>L54-L53</f>
        <v>1202655.6544150002</v>
      </c>
      <c r="N56" s="52">
        <f>SUM(D56:M56)</f>
        <v>6062712.7544149999</v>
      </c>
      <c r="P56" s="47"/>
      <c r="Q56" s="47"/>
      <c r="R56" s="47"/>
    </row>
    <row r="57" spans="1:18" x14ac:dyDescent="0.25">
      <c r="C57" s="45" t="s">
        <v>29</v>
      </c>
      <c r="D57" s="51">
        <v>0.55500000000000005</v>
      </c>
      <c r="F57" s="51">
        <v>0.55500000000000005</v>
      </c>
      <c r="H57" s="51">
        <v>0.55500000000000005</v>
      </c>
      <c r="J57" s="51">
        <v>0.55500000000000005</v>
      </c>
      <c r="L57" s="51">
        <v>0.55500000000000005</v>
      </c>
      <c r="N57" s="52"/>
      <c r="P57" s="47"/>
      <c r="Q57" s="47"/>
      <c r="R57" s="47"/>
    </row>
    <row r="58" spans="1:18" x14ac:dyDescent="0.25">
      <c r="C58" s="45" t="s">
        <v>30</v>
      </c>
      <c r="D58" s="52">
        <f>ROUND(D56*D57,0)</f>
        <v>694916</v>
      </c>
      <c r="F58" s="52">
        <f>ROUND(F56*F57,0)</f>
        <v>667467</v>
      </c>
      <c r="H58" s="52">
        <f>ROUND(H56*H57,0)</f>
        <v>667474</v>
      </c>
      <c r="J58" s="52">
        <f>ROUND(J56*J57,0)</f>
        <v>667474</v>
      </c>
      <c r="L58" s="52">
        <f>ROUND(L56*L57,0)</f>
        <v>667474</v>
      </c>
      <c r="N58" s="52">
        <f>SUM(D58:M58)</f>
        <v>3364805</v>
      </c>
    </row>
    <row r="59" spans="1:18" ht="13.8" thickBot="1" x14ac:dyDescent="0.3">
      <c r="C59" s="45" t="s">
        <v>16</v>
      </c>
      <c r="D59" s="55">
        <f>SUM(D54,D58)</f>
        <v>2345722.4299999997</v>
      </c>
      <c r="E59" s="48"/>
      <c r="F59" s="55">
        <f>SUM(F54,F58)</f>
        <v>2288896.5300000003</v>
      </c>
      <c r="G59" s="48"/>
      <c r="H59" s="55">
        <f>SUM(H54,H58)</f>
        <v>2288915.5300000003</v>
      </c>
      <c r="I59" s="48"/>
      <c r="J59" s="55">
        <f>SUM(J54,J58)</f>
        <v>2288915.5300000003</v>
      </c>
      <c r="K59" s="48"/>
      <c r="L59" s="55">
        <f>SUM(L54,L58)</f>
        <v>2288913.0848150002</v>
      </c>
      <c r="M59" s="48"/>
      <c r="N59" s="55">
        <f>SUM(D59:M59)</f>
        <v>11501363.104814999</v>
      </c>
    </row>
    <row r="60" spans="1:18" x14ac:dyDescent="0.25"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49"/>
    </row>
    <row r="61" spans="1:18" x14ac:dyDescent="0.25">
      <c r="C61" s="41" t="s">
        <v>81</v>
      </c>
      <c r="D61" s="49">
        <v>1515000</v>
      </c>
      <c r="E61" s="56"/>
      <c r="F61" s="49">
        <v>1515000</v>
      </c>
      <c r="G61" s="56"/>
      <c r="H61" s="49">
        <v>1515000</v>
      </c>
      <c r="I61" s="56"/>
      <c r="J61" s="49">
        <v>1515000</v>
      </c>
      <c r="K61" s="56"/>
      <c r="L61" s="49">
        <v>1515000</v>
      </c>
      <c r="M61" s="56"/>
      <c r="N61" s="49">
        <f>SUM(D61:M61)</f>
        <v>7575000</v>
      </c>
    </row>
    <row r="62" spans="1:18" x14ac:dyDescent="0.25">
      <c r="C62" s="89" t="s">
        <v>37</v>
      </c>
      <c r="D62" s="87">
        <f>D61-D55</f>
        <v>29542.050000000047</v>
      </c>
      <c r="E62" s="88"/>
      <c r="F62" s="87">
        <f>F61-F55</f>
        <v>56998.949999999953</v>
      </c>
      <c r="G62" s="88"/>
      <c r="H62" s="87">
        <f>H61-H55</f>
        <v>56986.949999999953</v>
      </c>
      <c r="I62" s="88"/>
      <c r="J62" s="87">
        <f>J61-J55</f>
        <v>56986.949999999953</v>
      </c>
      <c r="K62" s="88"/>
      <c r="L62" s="87">
        <f>L61-L55</f>
        <v>56987.9855849999</v>
      </c>
      <c r="M62" s="88"/>
      <c r="N62" s="87">
        <f>SUM(D62:M62)</f>
        <v>257502.88558499981</v>
      </c>
    </row>
    <row r="63" spans="1:18" x14ac:dyDescent="0.25"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49"/>
    </row>
    <row r="64" spans="1:18" x14ac:dyDescent="0.25">
      <c r="D64" s="56"/>
      <c r="E64" s="56"/>
      <c r="F64" s="49"/>
      <c r="G64" s="49"/>
      <c r="H64" s="56"/>
      <c r="I64" s="56"/>
      <c r="J64" s="56"/>
      <c r="K64" s="56"/>
      <c r="L64" s="56"/>
      <c r="M64" s="56"/>
      <c r="N64" s="49"/>
    </row>
    <row r="65" spans="4:14" x14ac:dyDescent="0.25">
      <c r="D65" s="49"/>
      <c r="E65" s="56"/>
      <c r="F65" s="49"/>
      <c r="G65" s="49"/>
      <c r="H65" s="56"/>
      <c r="I65" s="56"/>
      <c r="J65" s="56"/>
      <c r="K65" s="56"/>
      <c r="L65" s="56"/>
      <c r="M65" s="56"/>
      <c r="N65" s="49"/>
    </row>
    <row r="66" spans="4:14" x14ac:dyDescent="0.25">
      <c r="D66" s="56"/>
      <c r="E66" s="56"/>
      <c r="F66" s="49"/>
      <c r="G66" s="49"/>
      <c r="H66" s="56"/>
      <c r="I66" s="56"/>
      <c r="J66" s="56"/>
      <c r="K66" s="56"/>
      <c r="L66" s="56"/>
      <c r="M66" s="56"/>
      <c r="N66" s="49"/>
    </row>
    <row r="67" spans="4:14" x14ac:dyDescent="0.25">
      <c r="D67" s="56"/>
      <c r="E67" s="56"/>
      <c r="F67" s="49"/>
      <c r="G67" s="49"/>
      <c r="H67" s="56"/>
      <c r="I67" s="56"/>
      <c r="J67" s="56"/>
      <c r="K67" s="56"/>
      <c r="L67" s="56"/>
      <c r="M67" s="56"/>
      <c r="N67" s="49"/>
    </row>
    <row r="68" spans="4:14" x14ac:dyDescent="0.25">
      <c r="D68" s="49"/>
      <c r="E68" s="56"/>
      <c r="F68" s="56"/>
      <c r="G68" s="49"/>
      <c r="H68" s="56"/>
      <c r="I68" s="56"/>
      <c r="J68" s="56"/>
      <c r="K68" s="56"/>
      <c r="L68" s="56"/>
      <c r="M68" s="56"/>
      <c r="N68" s="49"/>
    </row>
    <row r="69" spans="4:14" x14ac:dyDescent="0.25">
      <c r="G69" s="67"/>
    </row>
  </sheetData>
  <printOptions horizontalCentered="1" gridLines="1"/>
  <pageMargins left="0.25" right="0.25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3"/>
  <sheetViews>
    <sheetView topLeftCell="A4" zoomScale="125" zoomScaleNormal="125" workbookViewId="0">
      <selection activeCell="D6" sqref="D6"/>
    </sheetView>
  </sheetViews>
  <sheetFormatPr defaultColWidth="9.33203125" defaultRowHeight="13.2" x14ac:dyDescent="0.25"/>
  <cols>
    <col min="1" max="1" width="31.5546875" style="2" bestFit="1" customWidth="1"/>
    <col min="2" max="2" width="12.5546875" style="2" customWidth="1"/>
    <col min="3" max="3" width="8.6640625" style="2" customWidth="1"/>
    <col min="4" max="4" width="10.6640625" style="2" customWidth="1"/>
    <col min="5" max="5" width="11.33203125" style="3" customWidth="1"/>
    <col min="6" max="6" width="8.6640625" style="3" customWidth="1"/>
    <col min="7" max="7" width="12.44140625" style="3" customWidth="1"/>
    <col min="8" max="8" width="8.6640625" style="3" customWidth="1"/>
    <col min="9" max="9" width="12.44140625" style="3" customWidth="1"/>
    <col min="10" max="10" width="8.6640625" style="3" customWidth="1"/>
    <col min="11" max="11" width="12.44140625" style="3" bestFit="1" customWidth="1"/>
    <col min="12" max="12" width="8.6640625" style="3" customWidth="1"/>
    <col min="13" max="13" width="12.44140625" style="3" customWidth="1"/>
    <col min="14" max="14" width="11.44140625" style="3" bestFit="1" customWidth="1"/>
    <col min="15" max="15" width="14.33203125" style="3" bestFit="1" customWidth="1"/>
    <col min="16" max="16" width="9.33203125" style="3" bestFit="1" customWidth="1"/>
    <col min="17" max="16384" width="9.33203125" style="2"/>
  </cols>
  <sheetData>
    <row r="1" spans="1:16" x14ac:dyDescent="0.25">
      <c r="A1" s="1" t="s">
        <v>21</v>
      </c>
      <c r="B1" s="1"/>
    </row>
    <row r="2" spans="1:16" s="4" customFormat="1" x14ac:dyDescent="0.2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4" customFormat="1" x14ac:dyDescent="0.25">
      <c r="C3" s="6"/>
      <c r="D3" s="7"/>
      <c r="E3" s="8" t="s">
        <v>0</v>
      </c>
      <c r="F3" s="9"/>
      <c r="G3" s="8" t="s">
        <v>1</v>
      </c>
      <c r="H3" s="9"/>
      <c r="I3" s="8" t="s">
        <v>2</v>
      </c>
      <c r="J3" s="9"/>
      <c r="K3" s="8" t="s">
        <v>3</v>
      </c>
      <c r="L3" s="9"/>
      <c r="M3" s="8" t="s">
        <v>42</v>
      </c>
      <c r="N3" s="9"/>
      <c r="O3" s="60"/>
      <c r="P3" s="68"/>
    </row>
    <row r="4" spans="1:16" s="4" customFormat="1" x14ac:dyDescent="0.25">
      <c r="A4" s="11" t="s">
        <v>4</v>
      </c>
      <c r="B4" s="11" t="s">
        <v>40</v>
      </c>
      <c r="C4" s="12" t="s">
        <v>5</v>
      </c>
      <c r="D4" s="13" t="s">
        <v>6</v>
      </c>
      <c r="E4" s="14"/>
      <c r="F4" s="15"/>
      <c r="G4" s="14"/>
      <c r="H4" s="15"/>
      <c r="I4" s="14"/>
      <c r="J4" s="15"/>
      <c r="K4" s="14"/>
      <c r="L4" s="15"/>
      <c r="M4" s="14"/>
      <c r="N4" s="15"/>
      <c r="O4" s="61" t="s">
        <v>11</v>
      </c>
      <c r="P4" s="68"/>
    </row>
    <row r="5" spans="1:16" x14ac:dyDescent="0.25">
      <c r="A5" s="17" t="s">
        <v>97</v>
      </c>
      <c r="B5" s="81">
        <v>199300</v>
      </c>
      <c r="C5" s="18">
        <v>0.1</v>
      </c>
      <c r="D5" s="18">
        <v>0.24829999999999999</v>
      </c>
      <c r="E5" s="19">
        <f>ROUND(B5*C5,0)</f>
        <v>19930</v>
      </c>
      <c r="F5" s="20">
        <f>ROUND(E5*D5,0)</f>
        <v>4949</v>
      </c>
      <c r="G5" s="19">
        <f>ROUND(B5*C5,0)</f>
        <v>19930</v>
      </c>
      <c r="H5" s="20">
        <f>ROUND(G5*D5,0)</f>
        <v>4949</v>
      </c>
      <c r="I5" s="20">
        <f>ROUND(B5*C5,0)</f>
        <v>19930</v>
      </c>
      <c r="J5" s="20">
        <f>ROUND(I5*D5,0)</f>
        <v>4949</v>
      </c>
      <c r="K5" s="20">
        <f>ROUND(B5*C5,0)</f>
        <v>19930</v>
      </c>
      <c r="L5" s="20">
        <f>ROUND(K5*D5,0)</f>
        <v>4949</v>
      </c>
      <c r="M5" s="20">
        <f>K5</f>
        <v>19930</v>
      </c>
      <c r="N5" s="20">
        <f>D5*M5</f>
        <v>4948.6189999999997</v>
      </c>
      <c r="O5" s="20">
        <f>SUM(E5:N5)</f>
        <v>124394.61900000001</v>
      </c>
    </row>
    <row r="6" spans="1:16" x14ac:dyDescent="0.25">
      <c r="A6" s="17" t="s">
        <v>98</v>
      </c>
      <c r="B6" s="81">
        <v>52500</v>
      </c>
      <c r="C6" s="21">
        <v>1</v>
      </c>
      <c r="D6" s="21">
        <v>0.2671</v>
      </c>
      <c r="E6" s="19">
        <f>B6*C6</f>
        <v>52500</v>
      </c>
      <c r="F6" s="20">
        <f t="shared" ref="F6" si="0">ROUND(E6*D6,0)</f>
        <v>14023</v>
      </c>
      <c r="G6" s="19">
        <f>E6</f>
        <v>52500</v>
      </c>
      <c r="H6" s="20">
        <f t="shared" ref="H6" si="1">ROUND(G6*D6,0)</f>
        <v>14023</v>
      </c>
      <c r="I6" s="20">
        <f>G6</f>
        <v>52500</v>
      </c>
      <c r="J6" s="20">
        <f t="shared" ref="J6" si="2">ROUND(I6*D6,0)</f>
        <v>14023</v>
      </c>
      <c r="K6" s="20">
        <f>I6</f>
        <v>52500</v>
      </c>
      <c r="L6" s="20">
        <f t="shared" ref="L6" si="3">ROUND(K6*D6,0)</f>
        <v>14023</v>
      </c>
      <c r="M6" s="20">
        <f t="shared" ref="M6" si="4">K6</f>
        <v>52500</v>
      </c>
      <c r="N6" s="20">
        <f t="shared" ref="N6" si="5">D6*M6</f>
        <v>14022.75</v>
      </c>
      <c r="O6" s="20">
        <f t="shared" ref="O6" si="6">SUM(E6:N6)</f>
        <v>332614.75</v>
      </c>
    </row>
    <row r="7" spans="1:16" x14ac:dyDescent="0.25">
      <c r="D7" s="23" t="s">
        <v>12</v>
      </c>
      <c r="E7" s="24">
        <f>E5+F5+E6+F6</f>
        <v>91402</v>
      </c>
      <c r="F7" s="25"/>
      <c r="G7" s="24">
        <f>G5+H5+G6+H6</f>
        <v>91402</v>
      </c>
      <c r="H7" s="25"/>
      <c r="I7" s="24">
        <f>I5+J5+I6+J6</f>
        <v>91402</v>
      </c>
      <c r="J7" s="25"/>
      <c r="K7" s="24">
        <f>K5+L5+K6+L6</f>
        <v>91402</v>
      </c>
      <c r="L7" s="25"/>
      <c r="M7" s="24">
        <f>M5+N5+M6+N6+1</f>
        <v>91402.369000000006</v>
      </c>
      <c r="N7" s="25"/>
      <c r="O7" s="26">
        <f>SUM(E7:N7)</f>
        <v>457010.36900000001</v>
      </c>
      <c r="P7" s="37"/>
    </row>
    <row r="8" spans="1:16" x14ac:dyDescent="0.25">
      <c r="A8" s="1" t="s">
        <v>13</v>
      </c>
      <c r="B8" s="1"/>
      <c r="C8" s="3"/>
      <c r="D8" s="27"/>
      <c r="E8" s="28"/>
      <c r="F8" s="29"/>
      <c r="G8" s="29"/>
      <c r="H8" s="29"/>
      <c r="I8" s="29"/>
      <c r="J8" s="29"/>
      <c r="K8" s="30"/>
      <c r="L8" s="22"/>
      <c r="M8" s="30"/>
      <c r="N8" s="22"/>
      <c r="O8" s="22"/>
      <c r="P8" s="37"/>
    </row>
    <row r="9" spans="1:16" x14ac:dyDescent="0.25">
      <c r="A9" s="17" t="s">
        <v>17</v>
      </c>
      <c r="B9" s="17"/>
      <c r="C9" s="3"/>
      <c r="D9" s="27"/>
      <c r="E9" s="28">
        <v>5600</v>
      </c>
      <c r="F9" s="32"/>
      <c r="G9" s="28">
        <v>5600</v>
      </c>
      <c r="H9" s="32"/>
      <c r="I9" s="28">
        <v>5600</v>
      </c>
      <c r="J9" s="32"/>
      <c r="K9" s="28">
        <v>5600</v>
      </c>
      <c r="L9" s="22"/>
      <c r="M9" s="28">
        <v>5600</v>
      </c>
      <c r="N9" s="22"/>
      <c r="O9" s="22">
        <f>SUM(E9:N9)</f>
        <v>28000</v>
      </c>
      <c r="P9" s="37"/>
    </row>
    <row r="10" spans="1:16" x14ac:dyDescent="0.25">
      <c r="A10" s="17" t="s">
        <v>18</v>
      </c>
      <c r="B10" s="17"/>
      <c r="C10" s="3"/>
      <c r="D10" s="31"/>
      <c r="E10" s="32">
        <v>5500</v>
      </c>
      <c r="F10" s="32"/>
      <c r="G10" s="32">
        <v>5500</v>
      </c>
      <c r="H10" s="32"/>
      <c r="I10" s="32">
        <v>5500</v>
      </c>
      <c r="J10" s="32"/>
      <c r="K10" s="32">
        <v>5500</v>
      </c>
      <c r="L10" s="22"/>
      <c r="M10" s="32">
        <v>5500</v>
      </c>
      <c r="N10" s="22"/>
      <c r="O10" s="22">
        <f t="shared" ref="O10:O11" si="7">SUM(E10:N10)</f>
        <v>27500</v>
      </c>
      <c r="P10" s="37"/>
    </row>
    <row r="11" spans="1:16" x14ac:dyDescent="0.25">
      <c r="A11" s="2" t="s">
        <v>47</v>
      </c>
      <c r="B11" s="33"/>
      <c r="C11" s="3"/>
      <c r="D11" s="31"/>
      <c r="E11" s="32">
        <v>15000</v>
      </c>
      <c r="F11" s="32"/>
      <c r="G11" s="32">
        <v>15000</v>
      </c>
      <c r="H11" s="32"/>
      <c r="I11" s="32">
        <v>15000</v>
      </c>
      <c r="J11" s="32"/>
      <c r="K11" s="32">
        <v>15000</v>
      </c>
      <c r="L11" s="22"/>
      <c r="M11" s="32">
        <v>15000</v>
      </c>
      <c r="N11" s="22"/>
      <c r="O11" s="22">
        <f t="shared" si="7"/>
        <v>75000</v>
      </c>
      <c r="P11" s="37"/>
    </row>
    <row r="12" spans="1:16" x14ac:dyDescent="0.25">
      <c r="B12" s="33"/>
      <c r="C12" s="3"/>
      <c r="D12" s="34" t="s">
        <v>14</v>
      </c>
      <c r="E12" s="35">
        <f>SUM(E9:E11)</f>
        <v>26100</v>
      </c>
      <c r="F12" s="29"/>
      <c r="G12" s="35">
        <f>SUM(G9:G11)</f>
        <v>26100</v>
      </c>
      <c r="H12" s="29"/>
      <c r="I12" s="35">
        <f>SUM(I9:I11)</f>
        <v>26100</v>
      </c>
      <c r="J12" s="29"/>
      <c r="K12" s="35">
        <f>SUM(K9:K11)</f>
        <v>26100</v>
      </c>
      <c r="L12" s="30"/>
      <c r="M12" s="35">
        <f>SUM(M9:M11)</f>
        <v>26100</v>
      </c>
      <c r="N12" s="30"/>
      <c r="O12" s="36">
        <f>SUM(E12:N12)</f>
        <v>130500</v>
      </c>
      <c r="P12" s="37"/>
    </row>
    <row r="13" spans="1:16" x14ac:dyDescent="0.25">
      <c r="A13" s="1"/>
      <c r="B13" s="1"/>
      <c r="C13" s="3"/>
      <c r="D13" s="34"/>
      <c r="E13" s="66"/>
      <c r="F13" s="29"/>
      <c r="G13" s="66"/>
      <c r="H13" s="29"/>
      <c r="I13" s="66"/>
      <c r="J13" s="29"/>
      <c r="K13" s="66"/>
      <c r="L13" s="30"/>
      <c r="M13" s="66"/>
      <c r="N13" s="30"/>
      <c r="O13" s="30"/>
      <c r="P13" s="37"/>
    </row>
    <row r="14" spans="1:16" x14ac:dyDescent="0.25">
      <c r="A14" s="1" t="s">
        <v>19</v>
      </c>
      <c r="B14" s="1"/>
      <c r="C14" s="3"/>
      <c r="D14" s="34"/>
      <c r="E14" s="66">
        <v>1500</v>
      </c>
      <c r="F14" s="29"/>
      <c r="G14" s="66">
        <v>1500</v>
      </c>
      <c r="H14" s="29"/>
      <c r="I14" s="66">
        <v>1500</v>
      </c>
      <c r="J14" s="29"/>
      <c r="K14" s="66">
        <v>1500</v>
      </c>
      <c r="L14" s="30"/>
      <c r="M14" s="66">
        <v>1500</v>
      </c>
      <c r="N14" s="30"/>
      <c r="O14" s="30">
        <f>SUM(E14:N14)</f>
        <v>7500</v>
      </c>
      <c r="P14" s="37"/>
    </row>
    <row r="15" spans="1:16" x14ac:dyDescent="0.25">
      <c r="A15" s="1" t="s">
        <v>48</v>
      </c>
      <c r="B15" s="1"/>
      <c r="C15" s="3"/>
      <c r="D15" s="34"/>
      <c r="E15" s="66">
        <v>3300</v>
      </c>
      <c r="F15" s="29"/>
      <c r="G15" s="66">
        <v>3300</v>
      </c>
      <c r="H15" s="29"/>
      <c r="I15" s="66">
        <v>3300</v>
      </c>
      <c r="J15" s="29"/>
      <c r="K15" s="66">
        <v>3300</v>
      </c>
      <c r="L15" s="30"/>
      <c r="M15" s="66">
        <v>3300</v>
      </c>
      <c r="N15" s="30"/>
      <c r="O15" s="30">
        <f>SUM(E15:N15)</f>
        <v>16500</v>
      </c>
      <c r="P15" s="37"/>
    </row>
    <row r="16" spans="1:16" x14ac:dyDescent="0.25">
      <c r="A16" s="1"/>
      <c r="B16" s="1"/>
      <c r="C16" s="3"/>
      <c r="D16" s="27"/>
      <c r="E16" s="28"/>
      <c r="F16" s="30"/>
      <c r="G16" s="30"/>
      <c r="H16" s="30"/>
      <c r="I16" s="30"/>
      <c r="J16" s="30"/>
      <c r="K16" s="30"/>
      <c r="L16" s="22"/>
      <c r="M16" s="30"/>
      <c r="N16" s="22"/>
      <c r="O16" s="30"/>
      <c r="P16" s="37"/>
    </row>
    <row r="17" spans="1:15" x14ac:dyDescent="0.25">
      <c r="A17" s="1"/>
      <c r="B17" s="1"/>
      <c r="C17" s="3"/>
      <c r="D17" s="38" t="s">
        <v>15</v>
      </c>
      <c r="E17" s="39">
        <f>E7+E12+E14+E15</f>
        <v>122302</v>
      </c>
      <c r="F17" s="40"/>
      <c r="G17" s="39">
        <f>G7+G12+G14+G15</f>
        <v>122302</v>
      </c>
      <c r="H17" s="40"/>
      <c r="I17" s="39">
        <f>I7+I12+I14+I15</f>
        <v>122302</v>
      </c>
      <c r="J17" s="40"/>
      <c r="K17" s="39">
        <f>K7+K12+K14+K15</f>
        <v>122302</v>
      </c>
      <c r="L17" s="40"/>
      <c r="M17" s="39">
        <f>M7+M12+M14+M15</f>
        <v>122302.36900000001</v>
      </c>
      <c r="N17" s="40"/>
      <c r="O17" s="39">
        <f>O7+O12+O14+O15</f>
        <v>611510.36899999995</v>
      </c>
    </row>
    <row r="18" spans="1:15" x14ac:dyDescent="0.25">
      <c r="A18" s="1"/>
      <c r="B18" s="1"/>
      <c r="C18" s="3"/>
      <c r="D18" s="41" t="s">
        <v>45</v>
      </c>
      <c r="E18" s="63">
        <f>E17</f>
        <v>122302</v>
      </c>
      <c r="F18" s="40"/>
      <c r="G18" s="63">
        <f>G17</f>
        <v>122302</v>
      </c>
      <c r="H18" s="40"/>
      <c r="I18" s="63">
        <f>I17</f>
        <v>122302</v>
      </c>
      <c r="J18" s="40"/>
      <c r="K18" s="63">
        <f>K17</f>
        <v>122302</v>
      </c>
      <c r="L18" s="40"/>
      <c r="M18" s="63">
        <f>M17</f>
        <v>122302.36900000001</v>
      </c>
      <c r="N18" s="40"/>
      <c r="O18" s="63">
        <f>O17</f>
        <v>611510.36899999995</v>
      </c>
    </row>
    <row r="19" spans="1:15" x14ac:dyDescent="0.25">
      <c r="C19" s="3"/>
      <c r="D19" s="42" t="s">
        <v>49</v>
      </c>
      <c r="E19" s="40">
        <f>E18*0.555</f>
        <v>67877.61</v>
      </c>
      <c r="F19" s="40"/>
      <c r="G19" s="40">
        <f>G18*0.555</f>
        <v>67877.61</v>
      </c>
      <c r="H19" s="40"/>
      <c r="I19" s="40">
        <f>I18*0.555</f>
        <v>67877.61</v>
      </c>
      <c r="J19" s="40"/>
      <c r="K19" s="40">
        <f>K18*0.555</f>
        <v>67877.61</v>
      </c>
      <c r="L19" s="40"/>
      <c r="M19" s="40">
        <f>M18*0.555</f>
        <v>67877.814795000013</v>
      </c>
      <c r="N19" s="40"/>
      <c r="O19" s="69">
        <f>SUM(E19:M19)</f>
        <v>339388.25479500002</v>
      </c>
    </row>
    <row r="20" spans="1:15" x14ac:dyDescent="0.25">
      <c r="C20" s="3"/>
      <c r="D20" s="41" t="s">
        <v>16</v>
      </c>
      <c r="E20" s="43">
        <f>SUM(E17,E19)</f>
        <v>190179.61</v>
      </c>
      <c r="F20" s="40"/>
      <c r="G20" s="43">
        <f>SUM(G17,G19)</f>
        <v>190179.61</v>
      </c>
      <c r="H20" s="40"/>
      <c r="I20" s="43">
        <f>SUM(I17,I19)</f>
        <v>190179.61</v>
      </c>
      <c r="J20" s="40"/>
      <c r="K20" s="43">
        <f>SUM(K17,K19)</f>
        <v>190179.61</v>
      </c>
      <c r="L20" s="40"/>
      <c r="M20" s="43">
        <f>SUM(M17,M19)</f>
        <v>190180.18379500002</v>
      </c>
      <c r="N20" s="40"/>
      <c r="O20" s="43">
        <f>SUM(O17,O19)+1</f>
        <v>950899.6237949999</v>
      </c>
    </row>
    <row r="21" spans="1:15" x14ac:dyDescent="0.25">
      <c r="C21" s="3"/>
      <c r="D21" s="3"/>
    </row>
    <row r="22" spans="1:15" x14ac:dyDescent="0.25">
      <c r="C22" s="3"/>
      <c r="D22" s="3"/>
    </row>
    <row r="23" spans="1:15" x14ac:dyDescent="0.25">
      <c r="C23" s="3"/>
      <c r="D23" s="3"/>
    </row>
    <row r="24" spans="1:15" x14ac:dyDescent="0.25">
      <c r="C24" s="3"/>
      <c r="D24" s="3"/>
    </row>
    <row r="25" spans="1:15" x14ac:dyDescent="0.25">
      <c r="C25" s="3"/>
      <c r="D25" s="3"/>
    </row>
    <row r="26" spans="1:15" x14ac:dyDescent="0.25">
      <c r="C26" s="3"/>
      <c r="D26" s="3"/>
    </row>
    <row r="27" spans="1:15" x14ac:dyDescent="0.25">
      <c r="C27" s="3"/>
      <c r="D27" s="3"/>
    </row>
    <row r="28" spans="1:15" x14ac:dyDescent="0.25">
      <c r="C28" s="3"/>
      <c r="D28" s="3"/>
    </row>
    <row r="29" spans="1:15" x14ac:dyDescent="0.25">
      <c r="C29" s="3"/>
      <c r="D29" s="3"/>
    </row>
    <row r="30" spans="1:15" x14ac:dyDescent="0.25">
      <c r="C30" s="3"/>
      <c r="D30" s="3"/>
    </row>
    <row r="31" spans="1:15" x14ac:dyDescent="0.25">
      <c r="C31" s="3"/>
      <c r="D31" s="3"/>
    </row>
    <row r="32" spans="1:15" x14ac:dyDescent="0.25">
      <c r="C32" s="3"/>
      <c r="D32" s="3"/>
    </row>
    <row r="33" spans="3:4" x14ac:dyDescent="0.25">
      <c r="C33" s="3"/>
      <c r="D33" s="3"/>
    </row>
  </sheetData>
  <printOptions horizontalCentered="1" gridLines="1"/>
  <pageMargins left="0.25" right="0.25" top="0.75" bottom="0.75" header="0.3" footer="0.3"/>
  <pageSetup orientation="landscape" r:id="rId1"/>
  <ignoredErrors>
    <ignoredError sqref="J6 H6 L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2"/>
  <sheetViews>
    <sheetView topLeftCell="B13" zoomScale="125" zoomScaleNormal="125" workbookViewId="0">
      <selection activeCell="H19" sqref="H19"/>
    </sheetView>
  </sheetViews>
  <sheetFormatPr defaultColWidth="9.33203125" defaultRowHeight="13.2" x14ac:dyDescent="0.25"/>
  <cols>
    <col min="1" max="1" width="31.5546875" style="2" bestFit="1" customWidth="1"/>
    <col min="2" max="2" width="12.5546875" style="2" customWidth="1"/>
    <col min="3" max="3" width="8.6640625" style="2" customWidth="1"/>
    <col min="4" max="4" width="12.6640625" style="2" customWidth="1"/>
    <col min="5" max="5" width="11.33203125" style="3" customWidth="1"/>
    <col min="6" max="6" width="8.6640625" style="3" customWidth="1"/>
    <col min="7" max="7" width="12.44140625" style="3" customWidth="1"/>
    <col min="8" max="8" width="8.6640625" style="3" customWidth="1"/>
    <col min="9" max="9" width="12.44140625" style="3" bestFit="1" customWidth="1"/>
    <col min="10" max="10" width="8.6640625" style="3" customWidth="1"/>
    <col min="11" max="11" width="12.44140625" style="3" bestFit="1" customWidth="1"/>
    <col min="12" max="12" width="8.6640625" style="3" customWidth="1"/>
    <col min="13" max="13" width="12.44140625" style="3" bestFit="1" customWidth="1"/>
    <col min="14" max="14" width="11.44140625" style="3" bestFit="1" customWidth="1"/>
    <col min="15" max="15" width="14.33203125" style="3" bestFit="1" customWidth="1"/>
    <col min="16" max="16" width="9.33203125" style="3" bestFit="1" customWidth="1"/>
    <col min="17" max="16384" width="9.33203125" style="2"/>
  </cols>
  <sheetData>
    <row r="1" spans="1:16" x14ac:dyDescent="0.25">
      <c r="A1" s="1" t="s">
        <v>22</v>
      </c>
      <c r="B1" s="1"/>
    </row>
    <row r="2" spans="1:16" s="4" customFormat="1" x14ac:dyDescent="0.2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4" customFormat="1" x14ac:dyDescent="0.25">
      <c r="C3" s="6"/>
      <c r="D3" s="7"/>
      <c r="E3" s="8" t="s">
        <v>0</v>
      </c>
      <c r="F3" s="9"/>
      <c r="G3" s="8" t="s">
        <v>1</v>
      </c>
      <c r="H3" s="9"/>
      <c r="I3" s="8" t="s">
        <v>2</v>
      </c>
      <c r="J3" s="9"/>
      <c r="K3" s="8" t="s">
        <v>3</v>
      </c>
      <c r="L3" s="9"/>
      <c r="M3" s="8" t="s">
        <v>42</v>
      </c>
      <c r="N3" s="9"/>
      <c r="O3" s="60"/>
      <c r="P3" s="68"/>
    </row>
    <row r="4" spans="1:16" s="4" customFormat="1" x14ac:dyDescent="0.25">
      <c r="A4" s="11" t="s">
        <v>4</v>
      </c>
      <c r="B4" s="11" t="s">
        <v>40</v>
      </c>
      <c r="C4" s="12" t="s">
        <v>5</v>
      </c>
      <c r="D4" s="13" t="s">
        <v>6</v>
      </c>
      <c r="E4" s="14"/>
      <c r="F4" s="15"/>
      <c r="G4" s="14"/>
      <c r="H4" s="15"/>
      <c r="I4" s="14"/>
      <c r="J4" s="15"/>
      <c r="K4" s="14"/>
      <c r="L4" s="15"/>
      <c r="M4" s="14"/>
      <c r="N4" s="15"/>
      <c r="O4" s="61" t="s">
        <v>11</v>
      </c>
      <c r="P4" s="68"/>
    </row>
    <row r="5" spans="1:16" x14ac:dyDescent="0.25">
      <c r="A5" s="17" t="s">
        <v>123</v>
      </c>
      <c r="B5" s="81">
        <v>199300</v>
      </c>
      <c r="C5" s="18">
        <v>0.2</v>
      </c>
      <c r="D5" s="18">
        <v>0.24829999999999999</v>
      </c>
      <c r="E5" s="19">
        <f>ROUND(B5*C5,0)</f>
        <v>39860</v>
      </c>
      <c r="F5" s="20">
        <f>ROUND(E5*D5,0)</f>
        <v>9897</v>
      </c>
      <c r="G5" s="19">
        <f>ROUND(B5*C5,0)</f>
        <v>39860</v>
      </c>
      <c r="H5" s="20">
        <f>ROUND(G5*D5,0)</f>
        <v>9897</v>
      </c>
      <c r="I5" s="20">
        <f>ROUND(B5*C5,0)</f>
        <v>39860</v>
      </c>
      <c r="J5" s="20">
        <f>ROUND(I5*D5,0)</f>
        <v>9897</v>
      </c>
      <c r="K5" s="20">
        <f>ROUND(B5*C5,0)</f>
        <v>39860</v>
      </c>
      <c r="L5" s="20">
        <f>ROUND(K5*D5,0)</f>
        <v>9897</v>
      </c>
      <c r="M5" s="20">
        <f>K5</f>
        <v>39860</v>
      </c>
      <c r="N5" s="20">
        <f>D5*M5</f>
        <v>9897.2379999999994</v>
      </c>
      <c r="O5" s="20">
        <f>SUM(E5:N5)</f>
        <v>248785.23800000001</v>
      </c>
    </row>
    <row r="6" spans="1:16" x14ac:dyDescent="0.25">
      <c r="A6" s="17" t="s">
        <v>99</v>
      </c>
      <c r="B6" s="81">
        <v>182027</v>
      </c>
      <c r="C6" s="21">
        <v>0.15</v>
      </c>
      <c r="D6" s="21">
        <v>0.24829999999999999</v>
      </c>
      <c r="E6" s="19">
        <f>B6*C6</f>
        <v>27304.05</v>
      </c>
      <c r="F6" s="20">
        <f>ROUND(E6*D6,0)</f>
        <v>6780</v>
      </c>
      <c r="G6" s="19">
        <f>E6</f>
        <v>27304.05</v>
      </c>
      <c r="H6" s="20">
        <f>ROUND(G6*D6,0)</f>
        <v>6780</v>
      </c>
      <c r="I6" s="20">
        <f>G6</f>
        <v>27304.05</v>
      </c>
      <c r="J6" s="20">
        <f>ROUND(I6*D6,0)</f>
        <v>6780</v>
      </c>
      <c r="K6" s="20">
        <f>I6</f>
        <v>27304.05</v>
      </c>
      <c r="L6" s="20">
        <f>ROUND(K6*D6,0)</f>
        <v>6780</v>
      </c>
      <c r="M6" s="20">
        <f t="shared" ref="M6:M7" si="0">K6</f>
        <v>27304.05</v>
      </c>
      <c r="N6" s="20">
        <f t="shared" ref="N6:N7" si="1">D6*M6</f>
        <v>6779.5956149999993</v>
      </c>
      <c r="O6" s="20">
        <f t="shared" ref="O6:O7" si="2">SUM(E6:N6)</f>
        <v>170419.845615</v>
      </c>
    </row>
    <row r="7" spans="1:16" x14ac:dyDescent="0.25">
      <c r="A7" s="17" t="s">
        <v>99</v>
      </c>
      <c r="B7" s="81">
        <v>92000</v>
      </c>
      <c r="C7" s="21">
        <v>0.1</v>
      </c>
      <c r="D7" s="21">
        <v>0.24829999999999999</v>
      </c>
      <c r="E7" s="19">
        <f>B7*C7</f>
        <v>9200</v>
      </c>
      <c r="F7" s="20">
        <f>ROUND(E7*D7,0)</f>
        <v>2284</v>
      </c>
      <c r="G7" s="19">
        <f>E7</f>
        <v>9200</v>
      </c>
      <c r="H7" s="20">
        <f>ROUND(G7*D7,0)</f>
        <v>2284</v>
      </c>
      <c r="I7" s="20">
        <f>G7</f>
        <v>9200</v>
      </c>
      <c r="J7" s="20">
        <f>ROUND(I7*D7,0)</f>
        <v>2284</v>
      </c>
      <c r="K7" s="20">
        <f>I7</f>
        <v>9200</v>
      </c>
      <c r="L7" s="20">
        <f>ROUND(K7*D7,0)</f>
        <v>2284</v>
      </c>
      <c r="M7" s="20">
        <f t="shared" si="0"/>
        <v>9200</v>
      </c>
      <c r="N7" s="20">
        <f t="shared" si="1"/>
        <v>2284.36</v>
      </c>
      <c r="O7" s="20">
        <f t="shared" si="2"/>
        <v>57420.36</v>
      </c>
    </row>
    <row r="8" spans="1:16" x14ac:dyDescent="0.25">
      <c r="A8" s="17" t="s">
        <v>100</v>
      </c>
      <c r="B8" s="81">
        <v>78695</v>
      </c>
      <c r="C8" s="21">
        <v>1</v>
      </c>
      <c r="D8" s="21">
        <v>0.37630000000000002</v>
      </c>
      <c r="E8" s="19">
        <f>B8*C8</f>
        <v>78695</v>
      </c>
      <c r="F8" s="20">
        <f>ROUND(E8*D8,0)</f>
        <v>29613</v>
      </c>
      <c r="G8" s="19">
        <f>E8</f>
        <v>78695</v>
      </c>
      <c r="H8" s="20">
        <f>ROUND(G8*D8,0)</f>
        <v>29613</v>
      </c>
      <c r="I8" s="20">
        <f>G8</f>
        <v>78695</v>
      </c>
      <c r="J8" s="20">
        <f>ROUND(I8*D8,0)</f>
        <v>29613</v>
      </c>
      <c r="K8" s="20">
        <f>I8</f>
        <v>78695</v>
      </c>
      <c r="L8" s="20">
        <f>ROUND(K8*D8,0)</f>
        <v>29613</v>
      </c>
      <c r="M8" s="20">
        <f t="shared" ref="M8" si="3">K8</f>
        <v>78695</v>
      </c>
      <c r="N8" s="20">
        <f t="shared" ref="N8" si="4">D8*M8</f>
        <v>29612.928500000002</v>
      </c>
      <c r="O8" s="20">
        <f t="shared" ref="O8" si="5">SUM(E8:N8)</f>
        <v>541539.92850000004</v>
      </c>
    </row>
    <row r="9" spans="1:16" x14ac:dyDescent="0.25">
      <c r="A9" s="17" t="s">
        <v>100</v>
      </c>
      <c r="B9" s="81">
        <v>60000</v>
      </c>
      <c r="C9" s="21">
        <v>0.5</v>
      </c>
      <c r="D9" s="21">
        <v>0.37630000000000002</v>
      </c>
      <c r="E9" s="19">
        <f>B9*C9</f>
        <v>30000</v>
      </c>
      <c r="F9" s="20">
        <f>ROUND(E9*D9,0)</f>
        <v>11289</v>
      </c>
      <c r="G9" s="19">
        <f>E9</f>
        <v>30000</v>
      </c>
      <c r="H9" s="20">
        <f>ROUND(G9*D9,0)</f>
        <v>11289</v>
      </c>
      <c r="I9" s="20">
        <f>G9</f>
        <v>30000</v>
      </c>
      <c r="J9" s="20">
        <f>ROUND(I9*D9,0)</f>
        <v>11289</v>
      </c>
      <c r="K9" s="20">
        <f>I9</f>
        <v>30000</v>
      </c>
      <c r="L9" s="20">
        <f>ROUND(K9*D9,0)</f>
        <v>11289</v>
      </c>
      <c r="M9" s="20">
        <f t="shared" ref="M9" si="6">K9</f>
        <v>30000</v>
      </c>
      <c r="N9" s="20">
        <f t="shared" ref="N9" si="7">D9*M9</f>
        <v>11289</v>
      </c>
      <c r="O9" s="20">
        <f t="shared" ref="O9" si="8">SUM(E9:N9)</f>
        <v>206445</v>
      </c>
    </row>
    <row r="10" spans="1:16" x14ac:dyDescent="0.25">
      <c r="D10" s="23" t="s">
        <v>12</v>
      </c>
      <c r="E10" s="24">
        <f>E5+F5+E6+F6+E7+F7+E8+F8+E9+F9</f>
        <v>244922.05</v>
      </c>
      <c r="F10" s="25"/>
      <c r="G10" s="24">
        <f>G5+H5+G6+H6+G7+H7+G8+H8+G9+H9</f>
        <v>244922.05</v>
      </c>
      <c r="H10" s="25"/>
      <c r="I10" s="24">
        <f>I5+J5+I6+J6+I7+J7+I8+J8+I9+J9</f>
        <v>244922.05</v>
      </c>
      <c r="J10" s="25"/>
      <c r="K10" s="24">
        <f>K5+L5+K6+L6+K7+L7+K8+L8+K9+L9</f>
        <v>244922.05</v>
      </c>
      <c r="L10" s="25"/>
      <c r="M10" s="24">
        <f>M5+N5+M6+N6+M7+N7+M8+N8+M9+N9</f>
        <v>244922.17211499999</v>
      </c>
      <c r="N10" s="25"/>
      <c r="O10" s="26">
        <f>SUM(E10:N10)</f>
        <v>1224610.3721149999</v>
      </c>
      <c r="P10" s="37"/>
    </row>
    <row r="11" spans="1:16" x14ac:dyDescent="0.25">
      <c r="A11" s="1" t="s">
        <v>13</v>
      </c>
      <c r="B11" s="1"/>
      <c r="C11" s="3"/>
      <c r="D11" s="27"/>
      <c r="E11" s="28"/>
      <c r="F11" s="29"/>
      <c r="G11" s="29"/>
      <c r="H11" s="29"/>
      <c r="I11" s="29"/>
      <c r="J11" s="29"/>
      <c r="K11" s="30"/>
      <c r="L11" s="22"/>
      <c r="M11" s="30"/>
      <c r="N11" s="22"/>
      <c r="O11" s="22"/>
      <c r="P11" s="37"/>
    </row>
    <row r="12" spans="1:16" x14ac:dyDescent="0.25">
      <c r="A12" s="17" t="s">
        <v>90</v>
      </c>
      <c r="B12" s="17"/>
      <c r="C12" s="3"/>
      <c r="D12" s="27"/>
      <c r="E12" s="93">
        <v>10000</v>
      </c>
      <c r="F12" s="90"/>
      <c r="G12" s="93">
        <v>10000</v>
      </c>
      <c r="H12" s="90"/>
      <c r="I12" s="93">
        <v>10000</v>
      </c>
      <c r="J12" s="90"/>
      <c r="K12" s="93">
        <v>10000</v>
      </c>
      <c r="L12" s="91"/>
      <c r="M12" s="93">
        <v>10000</v>
      </c>
      <c r="N12" s="91"/>
      <c r="O12" s="94">
        <f t="shared" ref="O12:O18" si="9">SUM(E12:N12)</f>
        <v>50000</v>
      </c>
      <c r="P12" s="37"/>
    </row>
    <row r="13" spans="1:16" x14ac:dyDescent="0.25">
      <c r="A13" s="17" t="s">
        <v>91</v>
      </c>
      <c r="B13" s="17"/>
      <c r="C13" s="3"/>
      <c r="D13" s="27"/>
      <c r="E13" s="93">
        <v>45000</v>
      </c>
      <c r="F13" s="90"/>
      <c r="G13" s="93">
        <v>45000</v>
      </c>
      <c r="H13" s="90"/>
      <c r="I13" s="93">
        <v>45000</v>
      </c>
      <c r="J13" s="90"/>
      <c r="K13" s="93">
        <v>45000</v>
      </c>
      <c r="L13" s="91"/>
      <c r="M13" s="93">
        <v>45000</v>
      </c>
      <c r="N13" s="91"/>
      <c r="O13" s="94">
        <f t="shared" si="9"/>
        <v>225000</v>
      </c>
      <c r="P13" s="37"/>
    </row>
    <row r="14" spans="1:16" x14ac:dyDescent="0.25">
      <c r="A14" s="17" t="s">
        <v>92</v>
      </c>
      <c r="B14" s="17"/>
      <c r="C14" s="3"/>
      <c r="D14" s="27"/>
      <c r="E14" s="28">
        <v>15000</v>
      </c>
      <c r="F14" s="32"/>
      <c r="G14" s="28">
        <v>15000</v>
      </c>
      <c r="H14" s="32"/>
      <c r="I14" s="28">
        <v>15000</v>
      </c>
      <c r="J14" s="32"/>
      <c r="K14" s="28">
        <v>15000</v>
      </c>
      <c r="L14" s="22"/>
      <c r="M14" s="28">
        <v>15000</v>
      </c>
      <c r="N14" s="91"/>
      <c r="O14" s="22">
        <f t="shared" si="9"/>
        <v>75000</v>
      </c>
      <c r="P14" s="37"/>
    </row>
    <row r="15" spans="1:16" x14ac:dyDescent="0.25">
      <c r="A15" s="17" t="s">
        <v>93</v>
      </c>
      <c r="B15" s="17"/>
      <c r="C15" s="3"/>
      <c r="D15" s="31"/>
      <c r="E15" s="32">
        <v>5000</v>
      </c>
      <c r="F15" s="32"/>
      <c r="G15" s="32">
        <v>5000</v>
      </c>
      <c r="H15" s="32"/>
      <c r="I15" s="32">
        <v>5000</v>
      </c>
      <c r="J15" s="32"/>
      <c r="K15" s="32">
        <v>5000</v>
      </c>
      <c r="L15" s="22"/>
      <c r="M15" s="32">
        <v>5000</v>
      </c>
      <c r="N15" s="91"/>
      <c r="O15" s="22">
        <f t="shared" si="9"/>
        <v>25000</v>
      </c>
      <c r="P15" s="37"/>
    </row>
    <row r="16" spans="1:16" x14ac:dyDescent="0.25">
      <c r="A16" s="17" t="s">
        <v>94</v>
      </c>
      <c r="E16" s="3">
        <v>5000</v>
      </c>
      <c r="F16" s="2"/>
      <c r="G16" s="3">
        <v>5000</v>
      </c>
      <c r="H16" s="2"/>
      <c r="I16" s="3">
        <v>5000</v>
      </c>
      <c r="J16" s="2"/>
      <c r="K16" s="3">
        <v>5000</v>
      </c>
      <c r="L16" s="2"/>
      <c r="M16" s="3">
        <v>5000</v>
      </c>
      <c r="N16" s="92"/>
      <c r="O16" s="2">
        <f t="shared" si="9"/>
        <v>25000</v>
      </c>
      <c r="P16" s="37"/>
    </row>
    <row r="17" spans="1:16" x14ac:dyDescent="0.25">
      <c r="A17" s="33"/>
      <c r="B17" s="33"/>
      <c r="C17" s="3"/>
      <c r="D17" s="34" t="s">
        <v>14</v>
      </c>
      <c r="E17" s="35">
        <f>SUM(E12:E16)</f>
        <v>80000</v>
      </c>
      <c r="F17" s="29"/>
      <c r="G17" s="35">
        <f>SUM(G12:G16)</f>
        <v>80000</v>
      </c>
      <c r="H17" s="29"/>
      <c r="I17" s="35">
        <f>SUM(I12:I16)</f>
        <v>80000</v>
      </c>
      <c r="J17" s="29"/>
      <c r="K17" s="35">
        <f>SUM(K12:K16)</f>
        <v>80000</v>
      </c>
      <c r="L17" s="30"/>
      <c r="M17" s="35">
        <f>SUM(M12:M16)</f>
        <v>80000</v>
      </c>
      <c r="N17" s="30"/>
      <c r="O17" s="36">
        <f t="shared" si="9"/>
        <v>400000</v>
      </c>
      <c r="P17" s="37"/>
    </row>
    <row r="18" spans="1:16" x14ac:dyDescent="0.25">
      <c r="A18" s="1" t="s">
        <v>19</v>
      </c>
      <c r="B18" s="1"/>
      <c r="C18" s="3"/>
      <c r="D18" s="34"/>
      <c r="E18" s="66">
        <v>5600</v>
      </c>
      <c r="F18" s="29"/>
      <c r="G18" s="66">
        <v>3600</v>
      </c>
      <c r="H18" s="29"/>
      <c r="I18" s="66">
        <v>1000</v>
      </c>
      <c r="J18" s="29"/>
      <c r="K18" s="66">
        <v>1000</v>
      </c>
      <c r="L18" s="30"/>
      <c r="M18" s="66">
        <v>1000</v>
      </c>
      <c r="N18" s="99"/>
      <c r="O18" s="30">
        <f t="shared" si="9"/>
        <v>12200</v>
      </c>
      <c r="P18" s="37"/>
    </row>
    <row r="19" spans="1:16" x14ac:dyDescent="0.25">
      <c r="A19" s="1"/>
      <c r="B19" s="1"/>
      <c r="C19" s="3"/>
      <c r="D19" s="34"/>
      <c r="E19" s="95"/>
      <c r="F19" s="25"/>
      <c r="G19" s="95"/>
      <c r="H19" s="29"/>
      <c r="I19" s="66"/>
      <c r="J19" s="29"/>
      <c r="K19" s="66"/>
      <c r="L19" s="30"/>
      <c r="M19" s="66"/>
      <c r="N19" s="30"/>
      <c r="O19" s="30"/>
      <c r="P19" s="37"/>
    </row>
    <row r="20" spans="1:16" x14ac:dyDescent="0.25">
      <c r="A20" s="1" t="s">
        <v>56</v>
      </c>
      <c r="B20" s="1"/>
      <c r="C20" s="3"/>
      <c r="D20" s="34"/>
      <c r="E20" s="66"/>
      <c r="F20" s="29"/>
      <c r="G20" s="66"/>
      <c r="H20" s="29"/>
      <c r="I20" s="66"/>
      <c r="J20" s="29"/>
      <c r="K20" s="66"/>
      <c r="L20" s="30"/>
      <c r="M20" s="66"/>
      <c r="N20" s="30"/>
      <c r="O20" s="30"/>
      <c r="P20" s="37"/>
    </row>
    <row r="21" spans="1:16" x14ac:dyDescent="0.25">
      <c r="A21" s="2" t="s">
        <v>44</v>
      </c>
      <c r="B21" s="1"/>
      <c r="C21" s="3"/>
      <c r="D21" s="34"/>
      <c r="E21" s="28">
        <v>1500</v>
      </c>
      <c r="F21" s="32"/>
      <c r="G21" s="28">
        <v>1500</v>
      </c>
      <c r="H21" s="32"/>
      <c r="I21" s="28">
        <v>1500</v>
      </c>
      <c r="J21" s="32"/>
      <c r="K21" s="28">
        <v>1500</v>
      </c>
      <c r="L21" s="22"/>
      <c r="M21" s="28">
        <v>1500</v>
      </c>
      <c r="N21" s="99"/>
      <c r="O21" s="30">
        <f>SUM(E21:N21)</f>
        <v>7500</v>
      </c>
      <c r="P21" s="37"/>
    </row>
    <row r="22" spans="1:16" x14ac:dyDescent="0.25">
      <c r="A22" s="1"/>
      <c r="B22" s="1"/>
      <c r="C22" s="3"/>
      <c r="D22" s="34"/>
      <c r="E22" s="66"/>
      <c r="F22" s="29"/>
      <c r="G22" s="66"/>
      <c r="H22" s="29"/>
      <c r="I22" s="66"/>
      <c r="J22" s="29"/>
      <c r="K22" s="66"/>
      <c r="L22" s="30"/>
      <c r="M22" s="66"/>
      <c r="N22" s="30"/>
      <c r="O22" s="30"/>
      <c r="P22" s="37"/>
    </row>
    <row r="23" spans="1:16" x14ac:dyDescent="0.25">
      <c r="A23" s="33"/>
      <c r="B23" s="33"/>
      <c r="C23" s="3"/>
      <c r="D23" s="34" t="s">
        <v>89</v>
      </c>
      <c r="E23" s="35">
        <f>SUM(E20:E22)</f>
        <v>1500</v>
      </c>
      <c r="F23" s="29"/>
      <c r="G23" s="35">
        <f>SUM(G20:G22)</f>
        <v>1500</v>
      </c>
      <c r="H23" s="29"/>
      <c r="I23" s="35">
        <f>SUM(I20:I22)</f>
        <v>1500</v>
      </c>
      <c r="J23" s="29"/>
      <c r="K23" s="35">
        <f>SUM(K20:K22)</f>
        <v>1500</v>
      </c>
      <c r="L23" s="30"/>
      <c r="M23" s="35">
        <f>SUM(M20:M22)</f>
        <v>1500</v>
      </c>
      <c r="N23" s="30"/>
      <c r="O23" s="36">
        <f>SUM(E23:N23)</f>
        <v>7500</v>
      </c>
      <c r="P23" s="37"/>
    </row>
    <row r="24" spans="1:16" x14ac:dyDescent="0.25">
      <c r="A24" s="1"/>
      <c r="B24" s="1"/>
      <c r="C24" s="3"/>
      <c r="D24" s="34"/>
      <c r="E24" s="66"/>
      <c r="F24" s="29"/>
      <c r="G24" s="66"/>
      <c r="H24" s="29"/>
      <c r="I24" s="66"/>
      <c r="J24" s="29"/>
      <c r="K24" s="66"/>
      <c r="L24" s="30"/>
      <c r="M24" s="66"/>
      <c r="N24" s="30"/>
      <c r="O24" s="30"/>
      <c r="P24" s="37"/>
    </row>
    <row r="25" spans="1:16" x14ac:dyDescent="0.25">
      <c r="B25" s="1"/>
      <c r="C25" s="3"/>
      <c r="D25" s="27"/>
      <c r="E25" s="28"/>
      <c r="F25" s="30"/>
      <c r="G25" s="30"/>
      <c r="H25" s="30"/>
      <c r="I25" s="30"/>
      <c r="J25" s="30"/>
      <c r="K25" s="30"/>
      <c r="L25" s="22"/>
      <c r="M25" s="30"/>
      <c r="N25" s="22"/>
      <c r="O25" s="30">
        <f>SUM(E25:M25)</f>
        <v>0</v>
      </c>
      <c r="P25" s="37"/>
    </row>
    <row r="26" spans="1:16" x14ac:dyDescent="0.25">
      <c r="A26" s="1"/>
      <c r="B26" s="1"/>
      <c r="C26" s="3"/>
      <c r="D26" s="38" t="s">
        <v>15</v>
      </c>
      <c r="E26" s="39">
        <f>E10+E17+E18+E23</f>
        <v>332022.05</v>
      </c>
      <c r="F26" s="40"/>
      <c r="G26" s="39">
        <f>G10+G17+G18+G23</f>
        <v>330022.05</v>
      </c>
      <c r="H26" s="40"/>
      <c r="I26" s="39">
        <f>I10+I17+I18+I23</f>
        <v>327422.05</v>
      </c>
      <c r="J26" s="40"/>
      <c r="K26" s="39">
        <f>K10+K17+K18+K23</f>
        <v>327422.05</v>
      </c>
      <c r="L26" s="40"/>
      <c r="M26" s="39">
        <f>M10+M17+M18+M23</f>
        <v>327422.17211499996</v>
      </c>
      <c r="N26" s="40"/>
      <c r="O26" s="39">
        <f>SUM(E26:M26)</f>
        <v>1644310.3721149999</v>
      </c>
      <c r="P26" s="37"/>
    </row>
    <row r="27" spans="1:16" x14ac:dyDescent="0.25">
      <c r="A27" s="1"/>
      <c r="B27" s="1"/>
      <c r="C27" s="3"/>
      <c r="D27" s="41" t="s">
        <v>45</v>
      </c>
      <c r="E27" s="63">
        <f>E26</f>
        <v>332022.05</v>
      </c>
      <c r="F27" s="40"/>
      <c r="G27" s="63">
        <f>G26</f>
        <v>330022.05</v>
      </c>
      <c r="H27" s="40"/>
      <c r="I27" s="63">
        <f>I26</f>
        <v>327422.05</v>
      </c>
      <c r="J27" s="40"/>
      <c r="K27" s="63">
        <f>K26</f>
        <v>327422.05</v>
      </c>
      <c r="L27" s="40"/>
      <c r="M27" s="63">
        <f>M26</f>
        <v>327422.17211499996</v>
      </c>
      <c r="N27" s="40"/>
      <c r="O27" s="63">
        <f>SUM(E27:M27)</f>
        <v>1644310.3721149999</v>
      </c>
    </row>
    <row r="28" spans="1:16" x14ac:dyDescent="0.25">
      <c r="A28" s="1"/>
      <c r="B28" s="1"/>
      <c r="C28" s="3"/>
      <c r="D28" s="42" t="s">
        <v>49</v>
      </c>
      <c r="E28" s="40">
        <f>E27*0.555</f>
        <v>184272.23775</v>
      </c>
      <c r="F28" s="40"/>
      <c r="G28" s="40">
        <f>G27*0.555</f>
        <v>183162.23775</v>
      </c>
      <c r="H28" s="40"/>
      <c r="I28" s="40">
        <f>I27*0.555</f>
        <v>181719.23775</v>
      </c>
      <c r="J28" s="40"/>
      <c r="K28" s="40">
        <f>K27*0.555</f>
        <v>181719.23775</v>
      </c>
      <c r="L28" s="40"/>
      <c r="M28" s="40">
        <f>M27*0.555</f>
        <v>181719.30552382499</v>
      </c>
      <c r="N28" s="40"/>
      <c r="O28" s="40">
        <f>O27*0.555</f>
        <v>912592.256523825</v>
      </c>
    </row>
    <row r="29" spans="1:16" x14ac:dyDescent="0.25">
      <c r="C29" s="3"/>
      <c r="D29" s="41" t="s">
        <v>16</v>
      </c>
      <c r="E29" s="43">
        <f>SUM(E26,E28)</f>
        <v>516294.28775000002</v>
      </c>
      <c r="F29" s="40"/>
      <c r="G29" s="43">
        <f>SUM(G26,G28)</f>
        <v>513184.28775000002</v>
      </c>
      <c r="H29" s="40"/>
      <c r="I29" s="43">
        <f>SUM(I26,I28)</f>
        <v>509141.28775000002</v>
      </c>
      <c r="J29" s="40"/>
      <c r="K29" s="43">
        <f>SUM(K26,K28)</f>
        <v>509141.28775000002</v>
      </c>
      <c r="L29" s="40"/>
      <c r="M29" s="43">
        <f>SUM(M26,M28)</f>
        <v>509141.47763882496</v>
      </c>
      <c r="N29" s="40"/>
      <c r="O29" s="43">
        <f>SUM(O26,O28)</f>
        <v>2556902.6286388249</v>
      </c>
    </row>
    <row r="30" spans="1:16" x14ac:dyDescent="0.25">
      <c r="C30" s="3"/>
      <c r="D30" s="3"/>
    </row>
    <row r="31" spans="1:16" x14ac:dyDescent="0.25">
      <c r="C31" s="3"/>
      <c r="D31" s="3"/>
    </row>
    <row r="32" spans="1:16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</sheetData>
  <printOptions horizontalCentered="1" gridLines="1"/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46"/>
  <sheetViews>
    <sheetView topLeftCell="B13" zoomScale="125" zoomScaleNormal="125" workbookViewId="0">
      <selection activeCell="E7" sqref="E7"/>
    </sheetView>
  </sheetViews>
  <sheetFormatPr defaultColWidth="9.33203125" defaultRowHeight="13.2" x14ac:dyDescent="0.25"/>
  <cols>
    <col min="1" max="1" width="34.33203125" style="2" bestFit="1" customWidth="1"/>
    <col min="2" max="2" width="12.5546875" style="2" customWidth="1"/>
    <col min="3" max="3" width="8.6640625" style="2" customWidth="1"/>
    <col min="4" max="4" width="9.6640625" style="2" customWidth="1"/>
    <col min="5" max="5" width="11.33203125" style="3" customWidth="1"/>
    <col min="6" max="6" width="8.6640625" style="3" customWidth="1"/>
    <col min="7" max="7" width="12.44140625" style="3" customWidth="1"/>
    <col min="8" max="8" width="8.6640625" style="3" customWidth="1"/>
    <col min="9" max="9" width="12.44140625" style="3" bestFit="1" customWidth="1"/>
    <col min="10" max="10" width="8.6640625" style="3" customWidth="1"/>
    <col min="11" max="11" width="12.44140625" style="3" bestFit="1" customWidth="1"/>
    <col min="12" max="12" width="8.6640625" style="3" customWidth="1"/>
    <col min="13" max="13" width="12.44140625" style="3" bestFit="1" customWidth="1"/>
    <col min="14" max="14" width="11.44140625" style="3" bestFit="1" customWidth="1"/>
    <col min="15" max="15" width="14.33203125" style="3" bestFit="1" customWidth="1"/>
    <col min="16" max="16" width="9.33203125" style="3" bestFit="1" customWidth="1"/>
    <col min="17" max="16384" width="9.33203125" style="2"/>
  </cols>
  <sheetData>
    <row r="1" spans="1:16" x14ac:dyDescent="0.25">
      <c r="A1" s="1" t="s">
        <v>23</v>
      </c>
      <c r="B1" s="1"/>
    </row>
    <row r="2" spans="1:16" s="4" customFormat="1" x14ac:dyDescent="0.2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4" customFormat="1" x14ac:dyDescent="0.25">
      <c r="C3" s="6"/>
      <c r="D3" s="7"/>
      <c r="E3" s="8" t="s">
        <v>0</v>
      </c>
      <c r="F3" s="9"/>
      <c r="G3" s="8" t="s">
        <v>1</v>
      </c>
      <c r="H3" s="9"/>
      <c r="I3" s="8" t="s">
        <v>2</v>
      </c>
      <c r="J3" s="9"/>
      <c r="K3" s="8" t="s">
        <v>3</v>
      </c>
      <c r="L3" s="9"/>
      <c r="M3" s="8" t="s">
        <v>42</v>
      </c>
      <c r="N3" s="9"/>
      <c r="O3" s="60"/>
      <c r="P3" s="68"/>
    </row>
    <row r="4" spans="1:16" s="4" customFormat="1" x14ac:dyDescent="0.25">
      <c r="A4" s="11" t="s">
        <v>4</v>
      </c>
      <c r="B4" s="11" t="s">
        <v>40</v>
      </c>
      <c r="C4" s="12" t="s">
        <v>5</v>
      </c>
      <c r="D4" s="13" t="s">
        <v>6</v>
      </c>
      <c r="E4" s="14"/>
      <c r="F4" s="15"/>
      <c r="G4" s="14"/>
      <c r="H4" s="15"/>
      <c r="I4" s="14"/>
      <c r="J4" s="15"/>
      <c r="K4" s="14"/>
      <c r="L4" s="15"/>
      <c r="M4" s="14"/>
      <c r="N4" s="15"/>
      <c r="O4" s="61" t="s">
        <v>11</v>
      </c>
      <c r="P4" s="68"/>
    </row>
    <row r="5" spans="1:16" x14ac:dyDescent="0.25">
      <c r="A5" s="17" t="s">
        <v>97</v>
      </c>
      <c r="B5" s="81">
        <v>199300</v>
      </c>
      <c r="C5" s="101">
        <v>0.25</v>
      </c>
      <c r="D5" s="18">
        <v>0.24829999999999999</v>
      </c>
      <c r="E5" s="19">
        <f>ROUND(B5*C5,0)</f>
        <v>49825</v>
      </c>
      <c r="F5" s="20">
        <f>ROUND(E5*D5,0)</f>
        <v>12372</v>
      </c>
      <c r="G5" s="19">
        <f>ROUND(B5*C5,0)</f>
        <v>49825</v>
      </c>
      <c r="H5" s="20">
        <f>ROUND(G5*D5,0)</f>
        <v>12372</v>
      </c>
      <c r="I5" s="20">
        <f>ROUND(B5*C5,0)</f>
        <v>49825</v>
      </c>
      <c r="J5" s="20">
        <f>ROUND(I5*D5,0)</f>
        <v>12372</v>
      </c>
      <c r="K5" s="20">
        <f>ROUND(B5*C5,0)</f>
        <v>49825</v>
      </c>
      <c r="L5" s="20">
        <f>ROUND(K5*D5,0)</f>
        <v>12372</v>
      </c>
      <c r="M5" s="20">
        <f>K5</f>
        <v>49825</v>
      </c>
      <c r="N5" s="20">
        <f>D5*M5</f>
        <v>12371.547499999999</v>
      </c>
      <c r="O5" s="20">
        <f>SUM(E5:N5)</f>
        <v>310984.54749999999</v>
      </c>
    </row>
    <row r="6" spans="1:16" x14ac:dyDescent="0.25">
      <c r="A6" s="17" t="s">
        <v>99</v>
      </c>
      <c r="B6" s="81">
        <v>130000</v>
      </c>
      <c r="C6" s="102">
        <v>0.2</v>
      </c>
      <c r="D6" s="18">
        <v>0.24829999999999999</v>
      </c>
      <c r="E6" s="19">
        <f>B6*C6</f>
        <v>26000</v>
      </c>
      <c r="F6" s="20">
        <f>ROUND(E6*D6,0)</f>
        <v>6456</v>
      </c>
      <c r="G6" s="19">
        <f>E6</f>
        <v>26000</v>
      </c>
      <c r="H6" s="20">
        <f>ROUND(G6*D6,0)</f>
        <v>6456</v>
      </c>
      <c r="I6" s="20">
        <f>G6</f>
        <v>26000</v>
      </c>
      <c r="J6" s="20">
        <f>ROUND(I6*D6,0)</f>
        <v>6456</v>
      </c>
      <c r="K6" s="20">
        <f>I6</f>
        <v>26000</v>
      </c>
      <c r="L6" s="20">
        <f>ROUND(K6*D6,0)</f>
        <v>6456</v>
      </c>
      <c r="M6" s="20">
        <f t="shared" ref="M6:M10" si="0">K6</f>
        <v>26000</v>
      </c>
      <c r="N6" s="20">
        <f t="shared" ref="N6:N10" si="1">D6*M6</f>
        <v>6455.8</v>
      </c>
      <c r="O6" s="20">
        <f t="shared" ref="O6:O10" si="2">SUM(E6:N6)</f>
        <v>162279.79999999999</v>
      </c>
    </row>
    <row r="7" spans="1:16" x14ac:dyDescent="0.25">
      <c r="A7" s="17" t="s">
        <v>99</v>
      </c>
      <c r="B7" s="81">
        <v>150000</v>
      </c>
      <c r="C7" s="102">
        <v>0.05</v>
      </c>
      <c r="D7" s="18">
        <v>0.24829999999999999</v>
      </c>
      <c r="E7" s="19">
        <f t="shared" ref="E7:E9" si="3">B7*C7</f>
        <v>7500</v>
      </c>
      <c r="F7" s="20">
        <f t="shared" ref="F7:F9" si="4">ROUND(E7*D7,0)</f>
        <v>1862</v>
      </c>
      <c r="G7" s="19">
        <f t="shared" ref="G7:G9" si="5">E7</f>
        <v>7500</v>
      </c>
      <c r="H7" s="20">
        <f t="shared" ref="H7:H9" si="6">ROUND(G7*D7,0)</f>
        <v>1862</v>
      </c>
      <c r="I7" s="20">
        <f t="shared" ref="I7:I9" si="7">G7</f>
        <v>7500</v>
      </c>
      <c r="J7" s="20">
        <f t="shared" ref="J7:J9" si="8">ROUND(I7*D7,0)</f>
        <v>1862</v>
      </c>
      <c r="K7" s="20">
        <f t="shared" ref="K7:K9" si="9">I7</f>
        <v>7500</v>
      </c>
      <c r="L7" s="20">
        <f t="shared" ref="L7:L9" si="10">ROUND(K7*D7,0)</f>
        <v>1862</v>
      </c>
      <c r="M7" s="20">
        <f t="shared" si="0"/>
        <v>7500</v>
      </c>
      <c r="N7" s="20">
        <f t="shared" si="1"/>
        <v>1862.25</v>
      </c>
      <c r="O7" s="20">
        <f t="shared" si="2"/>
        <v>46810.25</v>
      </c>
    </row>
    <row r="8" spans="1:16" x14ac:dyDescent="0.25">
      <c r="A8" s="17" t="s">
        <v>98</v>
      </c>
      <c r="B8" s="81">
        <v>52896</v>
      </c>
      <c r="C8" s="102">
        <v>1</v>
      </c>
      <c r="D8" s="21">
        <v>0.2671</v>
      </c>
      <c r="E8" s="19">
        <f t="shared" si="3"/>
        <v>52896</v>
      </c>
      <c r="F8" s="20">
        <f t="shared" si="4"/>
        <v>14129</v>
      </c>
      <c r="G8" s="19">
        <f t="shared" si="5"/>
        <v>52896</v>
      </c>
      <c r="H8" s="20">
        <f t="shared" si="6"/>
        <v>14129</v>
      </c>
      <c r="I8" s="20">
        <f t="shared" si="7"/>
        <v>52896</v>
      </c>
      <c r="J8" s="20">
        <f t="shared" si="8"/>
        <v>14129</v>
      </c>
      <c r="K8" s="20">
        <f t="shared" si="9"/>
        <v>52896</v>
      </c>
      <c r="L8" s="20">
        <f t="shared" si="10"/>
        <v>14129</v>
      </c>
      <c r="M8" s="20">
        <f t="shared" si="0"/>
        <v>52896</v>
      </c>
      <c r="N8" s="20">
        <f t="shared" si="1"/>
        <v>14128.5216</v>
      </c>
      <c r="O8" s="20">
        <f t="shared" si="2"/>
        <v>335124.52159999998</v>
      </c>
    </row>
    <row r="9" spans="1:16" x14ac:dyDescent="0.25">
      <c r="A9" s="17" t="s">
        <v>100</v>
      </c>
      <c r="B9" s="81">
        <v>61126</v>
      </c>
      <c r="C9" s="102">
        <v>0.5</v>
      </c>
      <c r="D9" s="21">
        <v>0.37630000000000002</v>
      </c>
      <c r="E9" s="19">
        <f t="shared" si="3"/>
        <v>30563</v>
      </c>
      <c r="F9" s="20">
        <f t="shared" si="4"/>
        <v>11501</v>
      </c>
      <c r="G9" s="19">
        <f t="shared" si="5"/>
        <v>30563</v>
      </c>
      <c r="H9" s="20">
        <f t="shared" si="6"/>
        <v>11501</v>
      </c>
      <c r="I9" s="20">
        <f t="shared" si="7"/>
        <v>30563</v>
      </c>
      <c r="J9" s="20">
        <f t="shared" si="8"/>
        <v>11501</v>
      </c>
      <c r="K9" s="20">
        <f t="shared" si="9"/>
        <v>30563</v>
      </c>
      <c r="L9" s="20">
        <f t="shared" si="10"/>
        <v>11501</v>
      </c>
      <c r="M9" s="20">
        <f t="shared" si="0"/>
        <v>30563</v>
      </c>
      <c r="N9" s="20">
        <f t="shared" si="1"/>
        <v>11500.856900000001</v>
      </c>
      <c r="O9" s="20">
        <f>SUM(E9:N9)</f>
        <v>210319.85690000001</v>
      </c>
    </row>
    <row r="10" spans="1:16" x14ac:dyDescent="0.25">
      <c r="A10" s="17" t="s">
        <v>100</v>
      </c>
      <c r="B10" s="81">
        <v>40500</v>
      </c>
      <c r="C10" s="102">
        <v>0.2</v>
      </c>
      <c r="D10" s="21">
        <v>0.37630000000000002</v>
      </c>
      <c r="E10" s="19">
        <f>B10*C10</f>
        <v>8100</v>
      </c>
      <c r="F10" s="20">
        <f>ROUND(E10*D10,0)</f>
        <v>3048</v>
      </c>
      <c r="G10" s="19">
        <f>E10</f>
        <v>8100</v>
      </c>
      <c r="H10" s="20">
        <f>ROUND(G10*D10,0)</f>
        <v>3048</v>
      </c>
      <c r="I10" s="20">
        <f>G10</f>
        <v>8100</v>
      </c>
      <c r="J10" s="20">
        <f>ROUND(I10*D10,0)</f>
        <v>3048</v>
      </c>
      <c r="K10" s="20">
        <f>I10</f>
        <v>8100</v>
      </c>
      <c r="L10" s="20">
        <f>ROUND(K10*D10,0)</f>
        <v>3048</v>
      </c>
      <c r="M10" s="20">
        <f t="shared" si="0"/>
        <v>8100</v>
      </c>
      <c r="N10" s="20">
        <f t="shared" si="1"/>
        <v>3048.03</v>
      </c>
      <c r="O10" s="20">
        <f t="shared" si="2"/>
        <v>55740.03</v>
      </c>
    </row>
    <row r="11" spans="1:16" x14ac:dyDescent="0.25">
      <c r="D11" s="23" t="s">
        <v>12</v>
      </c>
      <c r="E11" s="24">
        <f>E5+F5+E6+F6+E7+F7+E8+F8+E9+F9+E10+F10+1</f>
        <v>224253</v>
      </c>
      <c r="F11" s="25"/>
      <c r="G11" s="24">
        <f>G5+H5+G6+H6+G7+H7+G8+H8+G9+H9+G10+H10+1</f>
        <v>224253</v>
      </c>
      <c r="H11" s="25"/>
      <c r="I11" s="24">
        <f>I5+J5+I6+J6+I7+J7+I8+J8+I9+J9+I10+J10+1</f>
        <v>224253</v>
      </c>
      <c r="J11" s="25"/>
      <c r="K11" s="24">
        <f>K5+L5+K6+L6+K7+L7+K8+L8+K9+L9+K10+L10+1</f>
        <v>224253</v>
      </c>
      <c r="L11" s="25"/>
      <c r="M11" s="24">
        <f>M5+N5+M6+N6+M7+N7+M8+N8+M9+N9+M10+N10+1</f>
        <v>224252.00600000002</v>
      </c>
      <c r="N11" s="25"/>
      <c r="O11" s="26">
        <f>SUM(E11:N11)</f>
        <v>1121264.0060000001</v>
      </c>
      <c r="P11" s="37"/>
    </row>
    <row r="12" spans="1:16" x14ac:dyDescent="0.25">
      <c r="A12" s="1" t="s">
        <v>13</v>
      </c>
      <c r="B12" s="1"/>
      <c r="C12" s="3"/>
      <c r="D12" s="27"/>
      <c r="E12" s="28"/>
      <c r="F12" s="29"/>
      <c r="G12" s="29"/>
      <c r="H12" s="29"/>
      <c r="I12" s="29"/>
      <c r="J12" s="29"/>
      <c r="K12" s="30"/>
      <c r="L12" s="22"/>
      <c r="M12" s="30"/>
      <c r="N12" s="22"/>
      <c r="O12" s="22"/>
      <c r="P12" s="37"/>
    </row>
    <row r="13" spans="1:16" x14ac:dyDescent="0.25">
      <c r="A13" s="17" t="s">
        <v>51</v>
      </c>
      <c r="B13" s="17"/>
      <c r="C13" s="3"/>
      <c r="D13" s="27"/>
      <c r="E13" s="28">
        <v>6000</v>
      </c>
      <c r="F13" s="32"/>
      <c r="G13" s="28">
        <v>6000</v>
      </c>
      <c r="H13" s="32"/>
      <c r="I13" s="28">
        <v>6000</v>
      </c>
      <c r="J13" s="32"/>
      <c r="K13" s="28">
        <v>6000</v>
      </c>
      <c r="L13" s="22"/>
      <c r="M13" s="28">
        <v>6000</v>
      </c>
      <c r="N13" s="22"/>
      <c r="O13" s="22">
        <f>SUM(E13:N13)</f>
        <v>30000</v>
      </c>
      <c r="P13" s="37"/>
    </row>
    <row r="14" spans="1:16" x14ac:dyDescent="0.25">
      <c r="A14" s="17" t="s">
        <v>52</v>
      </c>
      <c r="B14" s="17"/>
      <c r="C14" s="100"/>
      <c r="D14" s="27"/>
      <c r="E14" s="28">
        <v>24000</v>
      </c>
      <c r="F14" s="32"/>
      <c r="G14" s="28">
        <v>24000</v>
      </c>
      <c r="H14" s="32"/>
      <c r="I14" s="28">
        <v>24000</v>
      </c>
      <c r="J14" s="32"/>
      <c r="K14" s="28">
        <v>24000</v>
      </c>
      <c r="L14" s="22"/>
      <c r="M14" s="28">
        <v>24000</v>
      </c>
      <c r="N14" s="22"/>
      <c r="O14" s="22">
        <f t="shared" ref="O14:O16" si="11">SUM(E14:N14)</f>
        <v>120000</v>
      </c>
      <c r="P14" s="37"/>
    </row>
    <row r="15" spans="1:16" x14ac:dyDescent="0.25">
      <c r="A15" s="17" t="s">
        <v>53</v>
      </c>
      <c r="B15" s="17"/>
      <c r="C15" s="3"/>
      <c r="D15" s="27"/>
      <c r="E15" s="28">
        <v>10200</v>
      </c>
      <c r="F15" s="32"/>
      <c r="G15" s="28">
        <v>10200</v>
      </c>
      <c r="H15" s="32"/>
      <c r="I15" s="28">
        <v>10200</v>
      </c>
      <c r="J15" s="32"/>
      <c r="K15" s="28">
        <v>10200</v>
      </c>
      <c r="L15" s="22"/>
      <c r="M15" s="28">
        <v>10200</v>
      </c>
      <c r="N15" s="22"/>
      <c r="O15" s="22">
        <f t="shared" si="11"/>
        <v>51000</v>
      </c>
      <c r="P15" s="37"/>
    </row>
    <row r="16" spans="1:16" x14ac:dyDescent="0.25">
      <c r="A16" s="17" t="s">
        <v>54</v>
      </c>
      <c r="B16" s="17"/>
      <c r="C16" s="3"/>
      <c r="D16" s="27"/>
      <c r="E16" s="28">
        <v>2500</v>
      </c>
      <c r="F16" s="32"/>
      <c r="G16" s="28">
        <v>2500</v>
      </c>
      <c r="H16" s="32"/>
      <c r="I16" s="28">
        <v>2500</v>
      </c>
      <c r="J16" s="32"/>
      <c r="K16" s="28">
        <v>2500</v>
      </c>
      <c r="L16" s="22"/>
      <c r="M16" s="28">
        <v>2500</v>
      </c>
      <c r="N16" s="22"/>
      <c r="O16" s="22">
        <f t="shared" si="11"/>
        <v>12500</v>
      </c>
      <c r="P16" s="37"/>
    </row>
    <row r="17" spans="1:16" x14ac:dyDescent="0.25">
      <c r="A17" s="17" t="s">
        <v>55</v>
      </c>
      <c r="B17" s="17"/>
      <c r="C17" s="3"/>
      <c r="D17" s="31"/>
      <c r="E17" s="32">
        <v>60000</v>
      </c>
      <c r="F17" s="32"/>
      <c r="G17" s="32">
        <v>60000</v>
      </c>
      <c r="H17" s="32"/>
      <c r="I17" s="32">
        <v>60000</v>
      </c>
      <c r="J17" s="32"/>
      <c r="K17" s="32">
        <v>60000</v>
      </c>
      <c r="L17" s="22"/>
      <c r="M17" s="32">
        <v>60000</v>
      </c>
      <c r="N17" s="22"/>
      <c r="O17" s="22">
        <f>SUM(E17:N17)</f>
        <v>300000</v>
      </c>
      <c r="P17" s="37"/>
    </row>
    <row r="18" spans="1:16" x14ac:dyDescent="0.25">
      <c r="A18" s="33"/>
      <c r="B18" s="33"/>
      <c r="C18" s="3"/>
      <c r="D18" s="34" t="s">
        <v>14</v>
      </c>
      <c r="E18" s="35">
        <f>SUM(E13:E17)</f>
        <v>102700</v>
      </c>
      <c r="F18" s="29"/>
      <c r="G18" s="35">
        <f>SUM(G13:G17)</f>
        <v>102700</v>
      </c>
      <c r="H18" s="29"/>
      <c r="I18" s="35">
        <f>SUM(I13:I17)</f>
        <v>102700</v>
      </c>
      <c r="J18" s="29"/>
      <c r="K18" s="35">
        <f>SUM(K13:K17)</f>
        <v>102700</v>
      </c>
      <c r="L18" s="30"/>
      <c r="M18" s="35">
        <f>SUM(M13:M17)</f>
        <v>102700</v>
      </c>
      <c r="N18" s="30"/>
      <c r="O18" s="36">
        <f>SUM(E18:N18)</f>
        <v>513500</v>
      </c>
      <c r="P18" s="37"/>
    </row>
    <row r="19" spans="1:16" x14ac:dyDescent="0.25">
      <c r="A19" s="33"/>
      <c r="B19" s="33"/>
      <c r="C19" s="3"/>
      <c r="D19" s="34"/>
      <c r="E19" s="66"/>
      <c r="F19" s="29"/>
      <c r="G19" s="66"/>
      <c r="H19" s="29"/>
      <c r="I19" s="66"/>
      <c r="J19" s="29"/>
      <c r="K19" s="66"/>
      <c r="L19" s="30"/>
      <c r="M19" s="66"/>
      <c r="N19" s="30"/>
      <c r="O19" s="30"/>
      <c r="P19" s="37"/>
    </row>
    <row r="20" spans="1:16" x14ac:dyDescent="0.25">
      <c r="A20" s="1" t="s">
        <v>19</v>
      </c>
      <c r="B20" s="1"/>
      <c r="C20" s="3"/>
      <c r="D20" s="34"/>
      <c r="E20" s="66">
        <v>3000</v>
      </c>
      <c r="F20" s="29"/>
      <c r="G20" s="66">
        <v>3000</v>
      </c>
      <c r="H20" s="29"/>
      <c r="I20" s="66">
        <v>3000</v>
      </c>
      <c r="J20" s="29"/>
      <c r="K20" s="66">
        <v>3000</v>
      </c>
      <c r="L20" s="30"/>
      <c r="M20" s="66">
        <v>3000</v>
      </c>
      <c r="N20" s="30"/>
      <c r="O20" s="30">
        <f>SUM(E20:N20)</f>
        <v>15000</v>
      </c>
      <c r="P20" s="37"/>
    </row>
    <row r="21" spans="1:16" x14ac:dyDescent="0.25">
      <c r="A21" s="1"/>
      <c r="B21" s="1"/>
      <c r="C21" s="3"/>
      <c r="D21" s="34"/>
      <c r="E21" s="66"/>
      <c r="F21" s="29"/>
      <c r="G21" s="66"/>
      <c r="H21" s="29"/>
      <c r="I21" s="66"/>
      <c r="J21" s="29"/>
      <c r="K21" s="66"/>
      <c r="L21" s="30"/>
      <c r="M21" s="66"/>
      <c r="N21" s="30"/>
      <c r="O21" s="30"/>
      <c r="P21" s="37"/>
    </row>
    <row r="22" spans="1:16" x14ac:dyDescent="0.25">
      <c r="A22" s="1" t="s">
        <v>56</v>
      </c>
      <c r="B22" s="1"/>
      <c r="C22" s="3"/>
      <c r="D22" s="34"/>
      <c r="E22" s="66"/>
      <c r="F22" s="29"/>
      <c r="G22" s="66"/>
      <c r="H22" s="29"/>
      <c r="I22" s="66"/>
      <c r="J22" s="29"/>
      <c r="K22" s="66"/>
      <c r="L22" s="30"/>
      <c r="M22" s="66"/>
      <c r="N22" s="30"/>
      <c r="O22" s="30"/>
      <c r="P22" s="37"/>
    </row>
    <row r="23" spans="1:16" x14ac:dyDescent="0.25">
      <c r="A23" s="17" t="s">
        <v>57</v>
      </c>
      <c r="B23" s="1"/>
      <c r="C23" s="3"/>
      <c r="D23" s="34"/>
      <c r="E23" s="28">
        <v>2000</v>
      </c>
      <c r="F23" s="29"/>
      <c r="G23" s="28">
        <v>2000</v>
      </c>
      <c r="H23" s="29"/>
      <c r="I23" s="28">
        <v>2000</v>
      </c>
      <c r="J23" s="29"/>
      <c r="K23" s="28">
        <v>2000</v>
      </c>
      <c r="L23" s="30"/>
      <c r="M23" s="28">
        <v>2000</v>
      </c>
      <c r="N23" s="30"/>
      <c r="O23" s="22">
        <f>SUM(E23:N23)</f>
        <v>10000</v>
      </c>
      <c r="P23" s="37"/>
    </row>
    <row r="24" spans="1:16" x14ac:dyDescent="0.25">
      <c r="A24" s="17" t="s">
        <v>58</v>
      </c>
      <c r="B24" s="1"/>
      <c r="C24" s="3"/>
      <c r="D24" s="34"/>
      <c r="E24" s="28">
        <v>5000</v>
      </c>
      <c r="F24" s="29"/>
      <c r="G24" s="28">
        <v>5000</v>
      </c>
      <c r="H24" s="29"/>
      <c r="I24" s="28">
        <v>5000</v>
      </c>
      <c r="J24" s="29"/>
      <c r="K24" s="28">
        <v>5000</v>
      </c>
      <c r="L24" s="30"/>
      <c r="M24" s="28">
        <v>5000</v>
      </c>
      <c r="N24" s="30"/>
      <c r="O24" s="22">
        <f t="shared" ref="O24:O27" si="12">SUM(E24:N24)</f>
        <v>25000</v>
      </c>
      <c r="P24" s="37"/>
    </row>
    <row r="25" spans="1:16" x14ac:dyDescent="0.25">
      <c r="A25" s="17" t="s">
        <v>59</v>
      </c>
      <c r="B25" s="1"/>
      <c r="C25" s="3"/>
      <c r="D25" s="34"/>
      <c r="E25" s="28">
        <v>12000</v>
      </c>
      <c r="F25" s="29"/>
      <c r="G25" s="28">
        <v>12000</v>
      </c>
      <c r="H25" s="29"/>
      <c r="I25" s="28">
        <v>12000</v>
      </c>
      <c r="J25" s="29"/>
      <c r="K25" s="28">
        <v>12000</v>
      </c>
      <c r="L25" s="30"/>
      <c r="M25" s="28">
        <v>12000</v>
      </c>
      <c r="N25" s="30"/>
      <c r="O25" s="22">
        <f t="shared" si="12"/>
        <v>60000</v>
      </c>
      <c r="P25" s="37"/>
    </row>
    <row r="26" spans="1:16" x14ac:dyDescent="0.25">
      <c r="A26" s="17" t="s">
        <v>60</v>
      </c>
      <c r="B26" s="1"/>
      <c r="C26" s="3"/>
      <c r="D26" s="34"/>
      <c r="E26" s="28">
        <v>3000</v>
      </c>
      <c r="F26" s="29"/>
      <c r="G26" s="28">
        <v>3000</v>
      </c>
      <c r="H26" s="29"/>
      <c r="I26" s="28">
        <v>3000</v>
      </c>
      <c r="J26" s="29"/>
      <c r="K26" s="28">
        <v>3000</v>
      </c>
      <c r="L26" s="30"/>
      <c r="M26" s="28">
        <v>3000</v>
      </c>
      <c r="N26" s="30"/>
      <c r="O26" s="22">
        <f t="shared" si="12"/>
        <v>15000</v>
      </c>
      <c r="P26" s="37"/>
    </row>
    <row r="27" spans="1:16" x14ac:dyDescent="0.25">
      <c r="A27" s="17" t="s">
        <v>61</v>
      </c>
      <c r="B27" s="1"/>
      <c r="C27" s="3"/>
      <c r="D27" s="34"/>
      <c r="E27" s="28">
        <v>5465</v>
      </c>
      <c r="F27" s="29"/>
      <c r="G27" s="28">
        <v>5465</v>
      </c>
      <c r="H27" s="29"/>
      <c r="I27" s="28">
        <v>5465</v>
      </c>
      <c r="J27" s="29"/>
      <c r="K27" s="28">
        <v>5465</v>
      </c>
      <c r="L27" s="30"/>
      <c r="M27" s="28">
        <v>5465</v>
      </c>
      <c r="N27" s="30"/>
      <c r="O27" s="22">
        <f t="shared" si="12"/>
        <v>27325</v>
      </c>
      <c r="P27" s="37"/>
    </row>
    <row r="28" spans="1:16" x14ac:dyDescent="0.25">
      <c r="A28" s="33"/>
      <c r="B28" s="33"/>
      <c r="C28" s="3"/>
      <c r="D28" s="34" t="s">
        <v>62</v>
      </c>
      <c r="E28" s="35">
        <f>SUM(E23:E27)</f>
        <v>27465</v>
      </c>
      <c r="F28" s="29"/>
      <c r="G28" s="35">
        <f>SUM(G23:G27)</f>
        <v>27465</v>
      </c>
      <c r="H28" s="29"/>
      <c r="I28" s="35">
        <f>SUM(I23:I27)</f>
        <v>27465</v>
      </c>
      <c r="J28" s="29"/>
      <c r="K28" s="35">
        <f>SUM(K23:K27)</f>
        <v>27465</v>
      </c>
      <c r="L28" s="30"/>
      <c r="M28" s="35">
        <f>SUM(M23:M27)</f>
        <v>27465</v>
      </c>
      <c r="N28" s="30"/>
      <c r="O28" s="36">
        <f>SUM(E28:N28)</f>
        <v>137325</v>
      </c>
      <c r="P28" s="37"/>
    </row>
    <row r="29" spans="1:16" x14ac:dyDescent="0.25">
      <c r="A29" s="1"/>
      <c r="B29" s="1"/>
      <c r="C29" s="3"/>
      <c r="D29" s="27"/>
      <c r="E29" s="28"/>
      <c r="F29" s="30"/>
      <c r="G29" s="30"/>
      <c r="H29" s="30"/>
      <c r="I29" s="30"/>
      <c r="J29" s="30"/>
      <c r="K29" s="30"/>
      <c r="L29" s="22"/>
      <c r="M29" s="30"/>
      <c r="N29" s="22"/>
      <c r="O29" s="30"/>
      <c r="P29" s="37"/>
    </row>
    <row r="30" spans="1:16" x14ac:dyDescent="0.25">
      <c r="A30" s="1"/>
      <c r="B30" s="1"/>
      <c r="C30" s="3"/>
      <c r="D30" s="38" t="s">
        <v>15</v>
      </c>
      <c r="E30" s="39">
        <f>E11+E18+E20+E28</f>
        <v>357418</v>
      </c>
      <c r="F30" s="40"/>
      <c r="G30" s="39">
        <f>G11+G18+G20+G28</f>
        <v>357418</v>
      </c>
      <c r="H30" s="40"/>
      <c r="I30" s="39">
        <f>I11+I18+I20+I28</f>
        <v>357418</v>
      </c>
      <c r="J30" s="40"/>
      <c r="K30" s="39">
        <f>K11+K18+K20+K28</f>
        <v>357418</v>
      </c>
      <c r="L30" s="40"/>
      <c r="M30" s="39">
        <f>M11+M18+M20+M28</f>
        <v>357417.00600000005</v>
      </c>
      <c r="N30" s="40"/>
      <c r="O30" s="39">
        <f>SUM(E30:M30)</f>
        <v>1787089.0060000001</v>
      </c>
      <c r="P30" s="37"/>
    </row>
    <row r="31" spans="1:16" x14ac:dyDescent="0.25">
      <c r="A31" s="1"/>
      <c r="B31" s="1"/>
      <c r="C31" s="3"/>
      <c r="D31" s="41" t="s">
        <v>45</v>
      </c>
      <c r="E31" s="63">
        <f>E30</f>
        <v>357418</v>
      </c>
      <c r="F31" s="40"/>
      <c r="G31" s="63">
        <f>G30</f>
        <v>357418</v>
      </c>
      <c r="H31" s="40"/>
      <c r="I31" s="63">
        <f>I30</f>
        <v>357418</v>
      </c>
      <c r="J31" s="40"/>
      <c r="K31" s="63">
        <f>K30</f>
        <v>357418</v>
      </c>
      <c r="L31" s="40"/>
      <c r="M31" s="63">
        <f>M30</f>
        <v>357417.00600000005</v>
      </c>
      <c r="N31" s="40"/>
      <c r="O31" s="63">
        <f>SUM(E31:M31)</f>
        <v>1787089.0060000001</v>
      </c>
    </row>
    <row r="32" spans="1:16" x14ac:dyDescent="0.25">
      <c r="A32" s="1"/>
      <c r="B32" s="1"/>
      <c r="C32" s="3"/>
      <c r="D32" s="42" t="s">
        <v>49</v>
      </c>
      <c r="E32" s="40">
        <f>E31*0.555</f>
        <v>198366.99000000002</v>
      </c>
      <c r="F32" s="40"/>
      <c r="G32" s="40">
        <f>G31*0.555</f>
        <v>198366.99000000002</v>
      </c>
      <c r="H32" s="40"/>
      <c r="I32" s="40">
        <f>I31*0.555</f>
        <v>198366.99000000002</v>
      </c>
      <c r="J32" s="40"/>
      <c r="K32" s="40">
        <f>K31*0.555</f>
        <v>198366.99000000002</v>
      </c>
      <c r="L32" s="40"/>
      <c r="M32" s="40">
        <f>M31*0.555</f>
        <v>198366.43833000003</v>
      </c>
      <c r="N32" s="40"/>
      <c r="O32" s="69">
        <f>SUM(E32:M32)</f>
        <v>991834.39833000011</v>
      </c>
    </row>
    <row r="33" spans="3:15" x14ac:dyDescent="0.25">
      <c r="C33" s="3"/>
      <c r="D33" s="41" t="s">
        <v>16</v>
      </c>
      <c r="E33" s="43">
        <f>SUM(E30,E32)</f>
        <v>555784.99</v>
      </c>
      <c r="F33" s="40"/>
      <c r="G33" s="43">
        <f>SUM(G30,G32)</f>
        <v>555784.99</v>
      </c>
      <c r="H33" s="40"/>
      <c r="I33" s="43">
        <f>SUM(I30,I32)</f>
        <v>555784.99</v>
      </c>
      <c r="J33" s="40"/>
      <c r="K33" s="43">
        <f>SUM(K30,K32)</f>
        <v>555784.99</v>
      </c>
      <c r="L33" s="40"/>
      <c r="M33" s="43">
        <f>SUM(M30,M32)</f>
        <v>555783.44433000009</v>
      </c>
      <c r="N33" s="40"/>
      <c r="O33" s="43">
        <f>SUM(O30,O32)</f>
        <v>2778923.4043300003</v>
      </c>
    </row>
    <row r="34" spans="3:15" x14ac:dyDescent="0.25">
      <c r="C34" s="3"/>
      <c r="D34" s="3"/>
    </row>
    <row r="35" spans="3:15" x14ac:dyDescent="0.25">
      <c r="C35" s="3"/>
      <c r="D35" s="3"/>
    </row>
    <row r="36" spans="3:15" x14ac:dyDescent="0.25">
      <c r="C36" s="3"/>
      <c r="D36" s="3"/>
    </row>
    <row r="37" spans="3:15" x14ac:dyDescent="0.25">
      <c r="C37" s="3"/>
      <c r="D37" s="3"/>
    </row>
    <row r="38" spans="3:15" x14ac:dyDescent="0.25">
      <c r="C38" s="3"/>
      <c r="D38" s="3"/>
    </row>
    <row r="39" spans="3:15" x14ac:dyDescent="0.25">
      <c r="C39" s="3"/>
      <c r="D39" s="3"/>
    </row>
    <row r="40" spans="3:15" x14ac:dyDescent="0.25">
      <c r="C40" s="3"/>
      <c r="D40" s="3"/>
    </row>
    <row r="41" spans="3:15" x14ac:dyDescent="0.25">
      <c r="C41" s="3"/>
      <c r="D41" s="3"/>
    </row>
    <row r="42" spans="3:15" x14ac:dyDescent="0.25">
      <c r="C42" s="3"/>
      <c r="D42" s="3"/>
    </row>
    <row r="43" spans="3:15" x14ac:dyDescent="0.25">
      <c r="C43" s="3"/>
      <c r="D43" s="3"/>
    </row>
    <row r="44" spans="3:15" x14ac:dyDescent="0.25">
      <c r="C44" s="3"/>
      <c r="D44" s="3"/>
    </row>
    <row r="45" spans="3:15" x14ac:dyDescent="0.25">
      <c r="C45" s="3"/>
      <c r="D45" s="3"/>
    </row>
    <row r="46" spans="3:15" x14ac:dyDescent="0.25">
      <c r="C46" s="3"/>
      <c r="D46" s="3"/>
    </row>
  </sheetData>
  <printOptions horizontalCentered="1" gridLines="1"/>
  <pageMargins left="0.25" right="0.25" top="0.75" bottom="0.75" header="0.3" footer="0.3"/>
  <pageSetup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40"/>
  <sheetViews>
    <sheetView topLeftCell="C10" zoomScale="125" zoomScaleNormal="125" workbookViewId="0">
      <selection activeCell="F5" sqref="F5:F11"/>
    </sheetView>
  </sheetViews>
  <sheetFormatPr defaultColWidth="9.33203125" defaultRowHeight="13.2" x14ac:dyDescent="0.25"/>
  <cols>
    <col min="1" max="1" width="34.33203125" style="2" bestFit="1" customWidth="1"/>
    <col min="2" max="2" width="17.5546875" style="2" bestFit="1" customWidth="1"/>
    <col min="3" max="3" width="8.6640625" style="2" customWidth="1"/>
    <col min="4" max="4" width="11.6640625" style="2" customWidth="1"/>
    <col min="5" max="5" width="11.33203125" style="3" customWidth="1"/>
    <col min="6" max="6" width="8.6640625" style="3" customWidth="1"/>
    <col min="7" max="7" width="12.44140625" style="3" customWidth="1"/>
    <col min="8" max="8" width="8.6640625" style="3" customWidth="1"/>
    <col min="9" max="9" width="12.44140625" style="3" bestFit="1" customWidth="1"/>
    <col min="10" max="10" width="8.6640625" style="3" customWidth="1"/>
    <col min="11" max="11" width="12.44140625" style="3" bestFit="1" customWidth="1"/>
    <col min="12" max="12" width="8.6640625" style="3" customWidth="1"/>
    <col min="13" max="13" width="12.44140625" style="3" bestFit="1" customWidth="1"/>
    <col min="14" max="14" width="11.44140625" style="3" bestFit="1" customWidth="1"/>
    <col min="15" max="15" width="14.33203125" style="3" bestFit="1" customWidth="1"/>
    <col min="16" max="16" width="9.33203125" style="3" bestFit="1" customWidth="1"/>
    <col min="17" max="16384" width="9.33203125" style="2"/>
  </cols>
  <sheetData>
    <row r="1" spans="1:16" x14ac:dyDescent="0.25">
      <c r="A1" s="1" t="s">
        <v>78</v>
      </c>
      <c r="B1" s="1"/>
    </row>
    <row r="2" spans="1:16" s="4" customFormat="1" x14ac:dyDescent="0.2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4" customFormat="1" x14ac:dyDescent="0.25">
      <c r="C3" s="6"/>
      <c r="D3" s="7"/>
      <c r="E3" s="8" t="s">
        <v>0</v>
      </c>
      <c r="F3" s="9"/>
      <c r="G3" s="8" t="s">
        <v>1</v>
      </c>
      <c r="H3" s="9"/>
      <c r="I3" s="8" t="s">
        <v>2</v>
      </c>
      <c r="J3" s="9"/>
      <c r="K3" s="8" t="s">
        <v>3</v>
      </c>
      <c r="L3" s="9"/>
      <c r="M3" s="8" t="s">
        <v>42</v>
      </c>
      <c r="N3" s="9"/>
      <c r="O3" s="60"/>
      <c r="P3" s="68"/>
    </row>
    <row r="4" spans="1:16" s="4" customFormat="1" x14ac:dyDescent="0.25">
      <c r="A4" s="11" t="s">
        <v>4</v>
      </c>
      <c r="B4" s="11" t="s">
        <v>40</v>
      </c>
      <c r="C4" s="12" t="s">
        <v>5</v>
      </c>
      <c r="D4" s="13" t="s">
        <v>6</v>
      </c>
      <c r="E4" s="14"/>
      <c r="F4" s="15"/>
      <c r="G4" s="14"/>
      <c r="H4" s="15"/>
      <c r="I4" s="14"/>
      <c r="J4" s="15"/>
      <c r="K4" s="14"/>
      <c r="L4" s="15"/>
      <c r="M4" s="14"/>
      <c r="N4" s="15"/>
      <c r="O4" s="61" t="s">
        <v>11</v>
      </c>
      <c r="P4" s="68"/>
    </row>
    <row r="5" spans="1:16" x14ac:dyDescent="0.25">
      <c r="A5" s="17" t="s">
        <v>101</v>
      </c>
      <c r="B5" s="81">
        <v>199300</v>
      </c>
      <c r="C5" s="18">
        <v>0.2</v>
      </c>
      <c r="D5" s="18">
        <v>0.24829999999999999</v>
      </c>
      <c r="E5" s="19">
        <f>ROUND(B5*C5,0)</f>
        <v>39860</v>
      </c>
      <c r="F5" s="20">
        <f>ROUND(E5*D5,0)</f>
        <v>9897</v>
      </c>
      <c r="G5" s="19">
        <f>ROUND(B5*C5,0)</f>
        <v>39860</v>
      </c>
      <c r="H5" s="20">
        <f>ROUND(G5*D5,0)</f>
        <v>9897</v>
      </c>
      <c r="I5" s="20">
        <f>ROUND(B5*C5,0)</f>
        <v>39860</v>
      </c>
      <c r="J5" s="20">
        <f>ROUND(I5*D5,0)</f>
        <v>9897</v>
      </c>
      <c r="K5" s="20">
        <f>ROUND(B5*C5,0)</f>
        <v>39860</v>
      </c>
      <c r="L5" s="20">
        <f>ROUND(K5*D5,0)</f>
        <v>9897</v>
      </c>
      <c r="M5" s="20">
        <f>K5</f>
        <v>39860</v>
      </c>
      <c r="N5" s="20">
        <f>D5*M5</f>
        <v>9897.2379999999994</v>
      </c>
      <c r="O5" s="20">
        <f>SUM(E5:N5)</f>
        <v>248785.23800000001</v>
      </c>
    </row>
    <row r="6" spans="1:16" x14ac:dyDescent="0.25">
      <c r="A6" s="17" t="s">
        <v>99</v>
      </c>
      <c r="B6" s="81">
        <v>84965</v>
      </c>
      <c r="C6" s="21">
        <v>0.05</v>
      </c>
      <c r="D6" s="21">
        <v>0.25819999999999999</v>
      </c>
      <c r="E6" s="19">
        <f>B6*C6</f>
        <v>4248.25</v>
      </c>
      <c r="F6" s="20">
        <f t="shared" ref="F6:F11" si="0">ROUND(E6*D6,0)</f>
        <v>1097</v>
      </c>
      <c r="G6" s="19">
        <f t="shared" ref="G6:G11" si="1">ROUND(B6*C6,0)</f>
        <v>4248</v>
      </c>
      <c r="H6" s="20">
        <f t="shared" ref="H6:H11" si="2">ROUND(G6*D6,0)</f>
        <v>1097</v>
      </c>
      <c r="I6" s="20">
        <f t="shared" ref="I6:I11" si="3">ROUND(B6*C6,0)</f>
        <v>4248</v>
      </c>
      <c r="J6" s="20">
        <f t="shared" ref="J6:J11" si="4">ROUND(I6*D6,0)</f>
        <v>1097</v>
      </c>
      <c r="K6" s="20">
        <f t="shared" ref="K6:K11" si="5">ROUND(B6*C6,0)</f>
        <v>4248</v>
      </c>
      <c r="L6" s="20">
        <f t="shared" ref="L6:L11" si="6">ROUND(K6*D6,0)</f>
        <v>1097</v>
      </c>
      <c r="M6" s="20">
        <f t="shared" ref="M6:M11" si="7">K6</f>
        <v>4248</v>
      </c>
      <c r="N6" s="20">
        <f t="shared" ref="N6:N11" si="8">D6*M6</f>
        <v>1096.8335999999999</v>
      </c>
      <c r="O6" s="20">
        <f t="shared" ref="O6:O11" si="9">SUM(E6:N6)</f>
        <v>26725.083599999998</v>
      </c>
    </row>
    <row r="7" spans="1:16" x14ac:dyDescent="0.25">
      <c r="A7" s="17" t="s">
        <v>99</v>
      </c>
      <c r="B7" s="81">
        <f>199300*0.875</f>
        <v>174387.5</v>
      </c>
      <c r="C7" s="21">
        <v>0.1</v>
      </c>
      <c r="D7" s="21">
        <v>0.24829999999999999</v>
      </c>
      <c r="E7" s="19">
        <f t="shared" ref="E7:E11" si="10">B7*C7</f>
        <v>17438.75</v>
      </c>
      <c r="F7" s="20">
        <f t="shared" si="0"/>
        <v>4330</v>
      </c>
      <c r="G7" s="19">
        <f t="shared" si="1"/>
        <v>17439</v>
      </c>
      <c r="H7" s="20">
        <f t="shared" si="2"/>
        <v>4330</v>
      </c>
      <c r="I7" s="20">
        <f t="shared" si="3"/>
        <v>17439</v>
      </c>
      <c r="J7" s="20">
        <f t="shared" si="4"/>
        <v>4330</v>
      </c>
      <c r="K7" s="20">
        <f t="shared" si="5"/>
        <v>17439</v>
      </c>
      <c r="L7" s="20">
        <f t="shared" si="6"/>
        <v>4330</v>
      </c>
      <c r="M7" s="20">
        <f t="shared" si="7"/>
        <v>17439</v>
      </c>
      <c r="N7" s="20">
        <f t="shared" si="8"/>
        <v>4330.1036999999997</v>
      </c>
      <c r="O7" s="20">
        <f t="shared" si="9"/>
        <v>108844.85370000001</v>
      </c>
    </row>
    <row r="8" spans="1:16" x14ac:dyDescent="0.25">
      <c r="A8" s="17" t="s">
        <v>99</v>
      </c>
      <c r="B8" s="81">
        <v>199300</v>
      </c>
      <c r="C8" s="21">
        <v>2.5000000000000001E-2</v>
      </c>
      <c r="D8" s="21">
        <v>0.24829999999999999</v>
      </c>
      <c r="E8" s="19">
        <f t="shared" si="10"/>
        <v>4982.5</v>
      </c>
      <c r="F8" s="20">
        <f t="shared" si="0"/>
        <v>1237</v>
      </c>
      <c r="G8" s="19">
        <f t="shared" si="1"/>
        <v>4983</v>
      </c>
      <c r="H8" s="20">
        <f t="shared" si="2"/>
        <v>1237</v>
      </c>
      <c r="I8" s="20">
        <f t="shared" si="3"/>
        <v>4983</v>
      </c>
      <c r="J8" s="20">
        <f t="shared" si="4"/>
        <v>1237</v>
      </c>
      <c r="K8" s="20">
        <f t="shared" si="5"/>
        <v>4983</v>
      </c>
      <c r="L8" s="20">
        <f t="shared" si="6"/>
        <v>1237</v>
      </c>
      <c r="M8" s="20">
        <f t="shared" si="7"/>
        <v>4983</v>
      </c>
      <c r="N8" s="20">
        <f t="shared" si="8"/>
        <v>1237.2789</v>
      </c>
      <c r="O8" s="20">
        <f t="shared" si="9"/>
        <v>31099.778900000001</v>
      </c>
    </row>
    <row r="9" spans="1:16" x14ac:dyDescent="0.25">
      <c r="A9" s="17" t="s">
        <v>100</v>
      </c>
      <c r="B9" s="81">
        <v>34834</v>
      </c>
      <c r="C9" s="21">
        <v>0.3</v>
      </c>
      <c r="D9" s="21">
        <v>0.37630000000000002</v>
      </c>
      <c r="E9" s="19">
        <f t="shared" si="10"/>
        <v>10450.199999999999</v>
      </c>
      <c r="F9" s="20">
        <f t="shared" si="0"/>
        <v>3932</v>
      </c>
      <c r="G9" s="19">
        <f t="shared" si="1"/>
        <v>10450</v>
      </c>
      <c r="H9" s="20">
        <f t="shared" si="2"/>
        <v>3932</v>
      </c>
      <c r="I9" s="20">
        <f t="shared" si="3"/>
        <v>10450</v>
      </c>
      <c r="J9" s="20">
        <f t="shared" si="4"/>
        <v>3932</v>
      </c>
      <c r="K9" s="20">
        <f t="shared" si="5"/>
        <v>10450</v>
      </c>
      <c r="L9" s="20">
        <f t="shared" si="6"/>
        <v>3932</v>
      </c>
      <c r="M9" s="20">
        <f t="shared" si="7"/>
        <v>10450</v>
      </c>
      <c r="N9" s="20">
        <f t="shared" si="8"/>
        <v>3932.335</v>
      </c>
      <c r="O9" s="20">
        <f t="shared" si="9"/>
        <v>71910.535000000003</v>
      </c>
    </row>
    <row r="10" spans="1:16" x14ac:dyDescent="0.25">
      <c r="A10" s="17" t="s">
        <v>100</v>
      </c>
      <c r="B10" s="81">
        <v>81126</v>
      </c>
      <c r="C10" s="21">
        <v>0.2</v>
      </c>
      <c r="D10" s="21">
        <v>0.37630000000000002</v>
      </c>
      <c r="E10" s="19">
        <f t="shared" si="10"/>
        <v>16225.2</v>
      </c>
      <c r="F10" s="20">
        <f t="shared" si="0"/>
        <v>6106</v>
      </c>
      <c r="G10" s="19">
        <f>ROUND(B10*C10,0)</f>
        <v>16225</v>
      </c>
      <c r="H10" s="20">
        <f>ROUND(G10*D10,0)</f>
        <v>6105</v>
      </c>
      <c r="I10" s="20">
        <f t="shared" si="3"/>
        <v>16225</v>
      </c>
      <c r="J10" s="20">
        <f>ROUND(I10*D10,0)</f>
        <v>6105</v>
      </c>
      <c r="K10" s="20">
        <f t="shared" si="5"/>
        <v>16225</v>
      </c>
      <c r="L10" s="20">
        <f t="shared" si="6"/>
        <v>6105</v>
      </c>
      <c r="M10" s="20">
        <f t="shared" si="7"/>
        <v>16225</v>
      </c>
      <c r="N10" s="20">
        <f t="shared" si="8"/>
        <v>6105.4675000000007</v>
      </c>
      <c r="O10" s="20">
        <f t="shared" si="9"/>
        <v>111651.6675</v>
      </c>
    </row>
    <row r="11" spans="1:16" x14ac:dyDescent="0.25">
      <c r="A11" s="17" t="s">
        <v>102</v>
      </c>
      <c r="B11" s="81">
        <v>50000</v>
      </c>
      <c r="C11" s="21">
        <v>0.5</v>
      </c>
      <c r="D11" s="21">
        <v>0.37630000000000002</v>
      </c>
      <c r="E11" s="19">
        <f t="shared" si="10"/>
        <v>25000</v>
      </c>
      <c r="F11" s="20">
        <f t="shared" si="0"/>
        <v>9408</v>
      </c>
      <c r="G11" s="19">
        <f t="shared" si="1"/>
        <v>25000</v>
      </c>
      <c r="H11" s="20">
        <f t="shared" si="2"/>
        <v>9408</v>
      </c>
      <c r="I11" s="20">
        <f t="shared" si="3"/>
        <v>25000</v>
      </c>
      <c r="J11" s="20">
        <f t="shared" si="4"/>
        <v>9408</v>
      </c>
      <c r="K11" s="20">
        <f t="shared" si="5"/>
        <v>25000</v>
      </c>
      <c r="L11" s="20">
        <f t="shared" si="6"/>
        <v>9408</v>
      </c>
      <c r="M11" s="20">
        <f t="shared" si="7"/>
        <v>25000</v>
      </c>
      <c r="N11" s="20">
        <f t="shared" si="8"/>
        <v>9407.5</v>
      </c>
      <c r="O11" s="20">
        <f t="shared" si="9"/>
        <v>172039.5</v>
      </c>
    </row>
    <row r="12" spans="1:16" x14ac:dyDescent="0.25">
      <c r="D12" s="23" t="s">
        <v>12</v>
      </c>
      <c r="E12" s="24">
        <f>E5+F5+E6+F6+E7+F7+E8+F8+E9+F9+E10+F10+E11+F11</f>
        <v>154211.9</v>
      </c>
      <c r="F12" s="25"/>
      <c r="G12" s="24">
        <f>G5+H5+G6+H6+G7+H7+G8+H8+G9+H9+G10+H10+G11+H11+1</f>
        <v>154212</v>
      </c>
      <c r="H12" s="25"/>
      <c r="I12" s="24">
        <f>I5+J5+I6+J6+I7+J7+I8+J8+I9+J9+I10+J10+I11+J11+1</f>
        <v>154212</v>
      </c>
      <c r="J12" s="25"/>
      <c r="K12" s="24">
        <f>K5+L5+K6+L6+K7+L7+K8+L8+K9+L9+K10+L10+K11+L11+1</f>
        <v>154212</v>
      </c>
      <c r="L12" s="25"/>
      <c r="M12" s="24">
        <f>M5+N5+M6+N6+M7+N7+M8+N8+M9+N9+M10+N10+M11+N11</f>
        <v>154211.75670000003</v>
      </c>
      <c r="N12" s="25"/>
      <c r="O12" s="26">
        <f>SUM(E12:N12)</f>
        <v>771059.65670000005</v>
      </c>
      <c r="P12" s="37"/>
    </row>
    <row r="13" spans="1:16" x14ac:dyDescent="0.25">
      <c r="A13" s="1" t="s">
        <v>13</v>
      </c>
      <c r="B13" s="1"/>
      <c r="C13" s="3"/>
      <c r="D13" s="27"/>
      <c r="E13" s="28"/>
      <c r="F13" s="29"/>
      <c r="G13" s="29"/>
      <c r="H13" s="29"/>
      <c r="I13" s="29"/>
      <c r="J13" s="29"/>
      <c r="K13" s="30"/>
      <c r="L13" s="22"/>
      <c r="M13" s="30"/>
      <c r="N13" s="22"/>
      <c r="O13" s="22"/>
      <c r="P13" s="37"/>
    </row>
    <row r="14" spans="1:16" x14ac:dyDescent="0.25">
      <c r="A14" s="17" t="s">
        <v>76</v>
      </c>
      <c r="B14" s="17"/>
      <c r="C14" s="3"/>
      <c r="D14" s="27"/>
      <c r="E14" s="28">
        <v>2500</v>
      </c>
      <c r="F14" s="32"/>
      <c r="G14" s="28">
        <v>2500</v>
      </c>
      <c r="H14" s="32"/>
      <c r="I14" s="28">
        <v>2500</v>
      </c>
      <c r="J14" s="32"/>
      <c r="K14" s="28">
        <v>2500</v>
      </c>
      <c r="L14" s="22"/>
      <c r="M14" s="28">
        <v>2500</v>
      </c>
      <c r="N14" s="22"/>
      <c r="O14" s="22">
        <f>SUM(E14:N14)</f>
        <v>12500</v>
      </c>
      <c r="P14" s="37"/>
    </row>
    <row r="15" spans="1:16" x14ac:dyDescent="0.25">
      <c r="A15" s="17" t="s">
        <v>95</v>
      </c>
      <c r="B15" s="17"/>
      <c r="C15" s="3"/>
      <c r="D15" s="27"/>
      <c r="E15" s="28">
        <v>4560</v>
      </c>
      <c r="F15" s="28"/>
      <c r="G15" s="28">
        <v>4560</v>
      </c>
      <c r="H15" s="28"/>
      <c r="I15" s="28">
        <v>4560</v>
      </c>
      <c r="J15" s="28"/>
      <c r="K15" s="28">
        <v>4560</v>
      </c>
      <c r="L15" s="28"/>
      <c r="M15" s="28">
        <v>4560</v>
      </c>
      <c r="N15" s="22"/>
      <c r="O15" s="22">
        <f>SUM(E15:N15)</f>
        <v>22800</v>
      </c>
      <c r="P15" s="37"/>
    </row>
    <row r="16" spans="1:16" x14ac:dyDescent="0.25">
      <c r="A16" s="33"/>
      <c r="B16" s="33"/>
      <c r="C16" s="3"/>
      <c r="D16" s="34" t="s">
        <v>14</v>
      </c>
      <c r="E16" s="35">
        <f>SUM(E14:E15)</f>
        <v>7060</v>
      </c>
      <c r="F16" s="35"/>
      <c r="G16" s="35">
        <f t="shared" ref="G16:O16" si="11">SUM(G14:G15)</f>
        <v>7060</v>
      </c>
      <c r="H16" s="35"/>
      <c r="I16" s="35">
        <f t="shared" si="11"/>
        <v>7060</v>
      </c>
      <c r="J16" s="35"/>
      <c r="K16" s="35">
        <f t="shared" si="11"/>
        <v>7060</v>
      </c>
      <c r="L16" s="35"/>
      <c r="M16" s="35">
        <f t="shared" si="11"/>
        <v>7060</v>
      </c>
      <c r="N16" s="35"/>
      <c r="O16" s="35">
        <f t="shared" si="11"/>
        <v>35300</v>
      </c>
      <c r="P16" s="37"/>
    </row>
    <row r="17" spans="1:16" x14ac:dyDescent="0.25">
      <c r="A17" s="33"/>
      <c r="B17" s="33"/>
      <c r="C17" s="3"/>
      <c r="D17" s="34"/>
      <c r="E17" s="66"/>
      <c r="F17" s="29"/>
      <c r="G17" s="66"/>
      <c r="H17" s="29"/>
      <c r="I17" s="66"/>
      <c r="J17" s="29"/>
      <c r="K17" s="66"/>
      <c r="L17" s="30"/>
      <c r="M17" s="66"/>
      <c r="N17" s="30"/>
      <c r="O17" s="30"/>
      <c r="P17" s="37"/>
    </row>
    <row r="18" spans="1:16" x14ac:dyDescent="0.25">
      <c r="A18" s="1" t="s">
        <v>96</v>
      </c>
      <c r="B18" s="96"/>
      <c r="C18" s="97"/>
      <c r="D18" s="98"/>
      <c r="E18" s="66">
        <v>2500</v>
      </c>
      <c r="F18" s="66"/>
      <c r="G18" s="66">
        <v>2500</v>
      </c>
      <c r="H18" s="66"/>
      <c r="I18" s="66">
        <v>2500</v>
      </c>
      <c r="J18" s="66"/>
      <c r="K18" s="66">
        <v>2500</v>
      </c>
      <c r="L18" s="66"/>
      <c r="M18" s="66">
        <v>2500</v>
      </c>
      <c r="N18" s="30"/>
      <c r="O18" s="30">
        <f>SUM(E18:N18)</f>
        <v>12500</v>
      </c>
      <c r="P18" s="37"/>
    </row>
    <row r="19" spans="1:16" x14ac:dyDescent="0.25">
      <c r="A19" s="1"/>
      <c r="B19" s="1"/>
      <c r="C19" s="3"/>
      <c r="D19" s="34"/>
      <c r="E19" s="66"/>
      <c r="F19" s="29"/>
      <c r="G19" s="66"/>
      <c r="H19" s="29"/>
      <c r="I19" s="66"/>
      <c r="J19" s="29"/>
      <c r="K19" s="66"/>
      <c r="L19" s="30"/>
      <c r="M19" s="66"/>
      <c r="N19" s="30"/>
      <c r="O19" s="30"/>
      <c r="P19" s="37"/>
    </row>
    <row r="20" spans="1:16" x14ac:dyDescent="0.25">
      <c r="A20" s="1" t="s">
        <v>77</v>
      </c>
      <c r="B20" s="1"/>
      <c r="C20" s="3"/>
      <c r="D20" s="34"/>
      <c r="E20" s="66"/>
      <c r="F20" s="29"/>
      <c r="G20" s="66"/>
      <c r="H20" s="29"/>
      <c r="I20" s="66"/>
      <c r="J20" s="29"/>
      <c r="K20" s="66"/>
      <c r="L20" s="30"/>
      <c r="M20" s="66"/>
      <c r="N20" s="30"/>
      <c r="O20" s="30"/>
      <c r="P20" s="37"/>
    </row>
    <row r="21" spans="1:16" x14ac:dyDescent="0.25">
      <c r="A21" s="17" t="s">
        <v>103</v>
      </c>
      <c r="C21" s="3"/>
      <c r="D21" s="34"/>
      <c r="E21" s="28">
        <v>342</v>
      </c>
      <c r="F21" s="29"/>
      <c r="G21" s="28">
        <v>342</v>
      </c>
      <c r="H21" s="29"/>
      <c r="I21" s="28">
        <v>342</v>
      </c>
      <c r="J21" s="29"/>
      <c r="K21" s="28">
        <v>342</v>
      </c>
      <c r="L21" s="30"/>
      <c r="M21" s="28">
        <v>342</v>
      </c>
      <c r="N21" s="30"/>
      <c r="O21" s="22">
        <f>SUM(E21:N21)</f>
        <v>1710</v>
      </c>
      <c r="P21" s="37"/>
    </row>
    <row r="22" spans="1:16" x14ac:dyDescent="0.25">
      <c r="A22" s="33"/>
      <c r="B22" s="33"/>
      <c r="C22" s="3"/>
      <c r="D22" s="34" t="s">
        <v>104</v>
      </c>
      <c r="E22" s="35">
        <f>SUM(E21:E21)</f>
        <v>342</v>
      </c>
      <c r="F22" s="29"/>
      <c r="G22" s="35">
        <f>SUM(G21:G21)</f>
        <v>342</v>
      </c>
      <c r="H22" s="29"/>
      <c r="I22" s="35">
        <f>SUM(I21:I21)</f>
        <v>342</v>
      </c>
      <c r="J22" s="29"/>
      <c r="K22" s="35">
        <f>SUM(K21:K21)</f>
        <v>342</v>
      </c>
      <c r="L22" s="30"/>
      <c r="M22" s="35">
        <f>SUM(M21:M21)</f>
        <v>342</v>
      </c>
      <c r="N22" s="30"/>
      <c r="O22" s="36">
        <f>SUM(E22:N22)</f>
        <v>1710</v>
      </c>
      <c r="P22" s="37"/>
    </row>
    <row r="23" spans="1:16" x14ac:dyDescent="0.25">
      <c r="A23" s="1"/>
      <c r="B23" s="1"/>
      <c r="C23" s="3"/>
      <c r="D23" s="27"/>
      <c r="E23" s="28"/>
      <c r="F23" s="30"/>
      <c r="G23" s="30"/>
      <c r="H23" s="30"/>
      <c r="I23" s="30"/>
      <c r="J23" s="30"/>
      <c r="K23" s="30"/>
      <c r="L23" s="22"/>
      <c r="M23" s="30"/>
      <c r="N23" s="22"/>
      <c r="O23" s="30"/>
      <c r="P23" s="37"/>
    </row>
    <row r="24" spans="1:16" x14ac:dyDescent="0.25">
      <c r="A24" s="1"/>
      <c r="B24" s="1"/>
      <c r="C24" s="3"/>
      <c r="D24" s="38" t="s">
        <v>15</v>
      </c>
      <c r="E24" s="39">
        <f>E12+E16+E18+E22</f>
        <v>164113.9</v>
      </c>
      <c r="F24" s="40"/>
      <c r="G24" s="39">
        <f>G12+G16+G18+G22</f>
        <v>164114</v>
      </c>
      <c r="H24" s="40"/>
      <c r="I24" s="39">
        <f>I12+I16+I18+I22</f>
        <v>164114</v>
      </c>
      <c r="J24" s="40"/>
      <c r="K24" s="39">
        <f>K12+K16+K18+K22</f>
        <v>164114</v>
      </c>
      <c r="L24" s="40"/>
      <c r="M24" s="39">
        <f>M12+M16+M18+M22</f>
        <v>164113.75670000003</v>
      </c>
      <c r="N24" s="40"/>
      <c r="O24" s="39">
        <f>SUM(E24:M24)</f>
        <v>820569.65670000005</v>
      </c>
      <c r="P24" s="37"/>
    </row>
    <row r="25" spans="1:16" x14ac:dyDescent="0.25">
      <c r="A25" s="1"/>
      <c r="B25" s="1"/>
      <c r="C25" s="3"/>
      <c r="D25" s="41" t="s">
        <v>45</v>
      </c>
      <c r="E25" s="63">
        <f>E24</f>
        <v>164113.9</v>
      </c>
      <c r="F25" s="40"/>
      <c r="G25" s="63">
        <f>G24</f>
        <v>164114</v>
      </c>
      <c r="H25" s="40"/>
      <c r="I25" s="63">
        <f>I24</f>
        <v>164114</v>
      </c>
      <c r="J25" s="40"/>
      <c r="K25" s="63">
        <f>K24</f>
        <v>164114</v>
      </c>
      <c r="L25" s="40"/>
      <c r="M25" s="63">
        <f>M24</f>
        <v>164113.75670000003</v>
      </c>
      <c r="N25" s="40"/>
      <c r="O25" s="63">
        <f>SUM(E25:M25)</f>
        <v>820569.65670000005</v>
      </c>
    </row>
    <row r="26" spans="1:16" x14ac:dyDescent="0.25">
      <c r="A26" s="1"/>
      <c r="B26" s="1"/>
      <c r="C26" s="3"/>
      <c r="D26" s="42" t="s">
        <v>49</v>
      </c>
      <c r="E26" s="40">
        <f>E25*0.555</f>
        <v>91083.214500000002</v>
      </c>
      <c r="F26" s="40"/>
      <c r="G26" s="40">
        <f>G25*0.555</f>
        <v>91083.27</v>
      </c>
      <c r="H26" s="40"/>
      <c r="I26" s="40">
        <f>I25*0.555</f>
        <v>91083.27</v>
      </c>
      <c r="J26" s="40"/>
      <c r="K26" s="40">
        <f>K25*0.555</f>
        <v>91083.27</v>
      </c>
      <c r="L26" s="40"/>
      <c r="M26" s="40">
        <f>M25*0.555</f>
        <v>91083.134968500017</v>
      </c>
      <c r="N26" s="40"/>
      <c r="O26" s="69">
        <f>SUM(E26:M26)+1</f>
        <v>455417.15946850006</v>
      </c>
    </row>
    <row r="27" spans="1:16" x14ac:dyDescent="0.25">
      <c r="C27" s="3"/>
      <c r="D27" s="41" t="s">
        <v>16</v>
      </c>
      <c r="E27" s="43">
        <f>SUM(E24,E26)</f>
        <v>255197.1145</v>
      </c>
      <c r="F27" s="40"/>
      <c r="G27" s="43">
        <f>SUM(G24,G26)</f>
        <v>255197.27000000002</v>
      </c>
      <c r="H27" s="40"/>
      <c r="I27" s="43">
        <f>SUM(I24,I26)</f>
        <v>255197.27000000002</v>
      </c>
      <c r="J27" s="40"/>
      <c r="K27" s="43">
        <f>SUM(K24,K26)</f>
        <v>255197.27000000002</v>
      </c>
      <c r="L27" s="40"/>
      <c r="M27" s="43">
        <f>SUM(M24,M26)</f>
        <v>255196.89166850003</v>
      </c>
      <c r="N27" s="40"/>
      <c r="O27" s="43">
        <f>SUM(O24,O26)</f>
        <v>1275986.8161685001</v>
      </c>
    </row>
    <row r="28" spans="1:16" x14ac:dyDescent="0.25">
      <c r="C28" s="3"/>
      <c r="D28" s="3"/>
    </row>
    <row r="29" spans="1:16" x14ac:dyDescent="0.25">
      <c r="C29" s="3"/>
      <c r="D29" s="3"/>
    </row>
    <row r="30" spans="1:16" x14ac:dyDescent="0.25">
      <c r="C30" s="3"/>
      <c r="D30" s="3"/>
    </row>
    <row r="31" spans="1:16" x14ac:dyDescent="0.25">
      <c r="C31" s="3"/>
      <c r="D31" s="3"/>
    </row>
    <row r="32" spans="1:16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</sheetData>
  <printOptions horizontalCentered="1" gridLines="1"/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44"/>
  <sheetViews>
    <sheetView zoomScaleNormal="100" workbookViewId="0">
      <selection activeCell="N10" sqref="N10"/>
    </sheetView>
  </sheetViews>
  <sheetFormatPr defaultColWidth="9.33203125" defaultRowHeight="13.2" x14ac:dyDescent="0.25"/>
  <cols>
    <col min="1" max="1" width="34.109375" style="2" bestFit="1" customWidth="1"/>
    <col min="2" max="2" width="17.5546875" style="2" bestFit="1" customWidth="1"/>
    <col min="3" max="3" width="8.6640625" style="2" customWidth="1"/>
    <col min="4" max="4" width="11.6640625" style="2" customWidth="1"/>
    <col min="5" max="5" width="11.33203125" style="3" customWidth="1"/>
    <col min="6" max="6" width="8.6640625" style="3" customWidth="1"/>
    <col min="7" max="7" width="12.44140625" style="3" customWidth="1"/>
    <col min="8" max="8" width="8.6640625" style="3" customWidth="1"/>
    <col min="9" max="9" width="12.44140625" style="3" bestFit="1" customWidth="1"/>
    <col min="10" max="10" width="8.6640625" style="3" customWidth="1"/>
    <col min="11" max="11" width="12.44140625" style="3" bestFit="1" customWidth="1"/>
    <col min="12" max="12" width="8.6640625" style="3" customWidth="1"/>
    <col min="13" max="13" width="12.44140625" style="3" bestFit="1" customWidth="1"/>
    <col min="14" max="14" width="11.44140625" style="3" bestFit="1" customWidth="1"/>
    <col min="15" max="15" width="14.33203125" style="3" bestFit="1" customWidth="1"/>
    <col min="16" max="16" width="9.33203125" style="3" bestFit="1" customWidth="1"/>
    <col min="17" max="16384" width="9.33203125" style="2"/>
  </cols>
  <sheetData>
    <row r="1" spans="1:16" x14ac:dyDescent="0.25">
      <c r="A1" s="1" t="s">
        <v>79</v>
      </c>
      <c r="B1" s="1"/>
    </row>
    <row r="2" spans="1:16" s="4" customFormat="1" x14ac:dyDescent="0.2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4" customFormat="1" x14ac:dyDescent="0.25">
      <c r="C3" s="6"/>
      <c r="D3" s="7"/>
      <c r="E3" s="8" t="s">
        <v>0</v>
      </c>
      <c r="F3" s="9"/>
      <c r="G3" s="8" t="s">
        <v>1</v>
      </c>
      <c r="H3" s="9"/>
      <c r="I3" s="8" t="s">
        <v>2</v>
      </c>
      <c r="J3" s="9"/>
      <c r="K3" s="8" t="s">
        <v>3</v>
      </c>
      <c r="L3" s="9"/>
      <c r="M3" s="8" t="s">
        <v>42</v>
      </c>
      <c r="N3" s="9"/>
      <c r="O3" s="60"/>
      <c r="P3" s="68"/>
    </row>
    <row r="4" spans="1:16" s="4" customFormat="1" x14ac:dyDescent="0.25">
      <c r="A4" s="11" t="s">
        <v>4</v>
      </c>
      <c r="B4" s="11" t="s">
        <v>40</v>
      </c>
      <c r="C4" s="12" t="s">
        <v>5</v>
      </c>
      <c r="D4" s="13" t="s">
        <v>6</v>
      </c>
      <c r="E4" s="14" t="s">
        <v>41</v>
      </c>
      <c r="F4" s="15"/>
      <c r="G4" s="14" t="s">
        <v>41</v>
      </c>
      <c r="H4" s="15"/>
      <c r="I4" s="14" t="s">
        <v>41</v>
      </c>
      <c r="J4" s="15"/>
      <c r="K4" s="14" t="s">
        <v>41</v>
      </c>
      <c r="L4" s="15"/>
      <c r="M4" s="14" t="s">
        <v>41</v>
      </c>
      <c r="N4" s="15"/>
      <c r="O4" s="61" t="s">
        <v>11</v>
      </c>
      <c r="P4" s="68"/>
    </row>
    <row r="5" spans="1:16" x14ac:dyDescent="0.25">
      <c r="A5" s="17" t="s">
        <v>101</v>
      </c>
      <c r="B5" s="81">
        <v>199300</v>
      </c>
      <c r="C5" s="18">
        <v>0.2</v>
      </c>
      <c r="D5" s="18">
        <v>0.24829999999999999</v>
      </c>
      <c r="E5" s="19">
        <f>ROUND(B5*C5,0)</f>
        <v>39860</v>
      </c>
      <c r="F5" s="20">
        <f>ROUND(E5*D5,0)</f>
        <v>9897</v>
      </c>
      <c r="G5" s="19">
        <f>ROUND(B5*C5,0)</f>
        <v>39860</v>
      </c>
      <c r="H5" s="20">
        <f>ROUND(G5*D5,0)</f>
        <v>9897</v>
      </c>
      <c r="I5" s="20">
        <f>ROUND(B5*C5,0)</f>
        <v>39860</v>
      </c>
      <c r="J5" s="20">
        <f>ROUND(I5*D5,0)</f>
        <v>9897</v>
      </c>
      <c r="K5" s="20">
        <f>ROUND(B5*C5,0)</f>
        <v>39860</v>
      </c>
      <c r="L5" s="20">
        <f>ROUND(K5*D5,0)</f>
        <v>9897</v>
      </c>
      <c r="M5" s="20">
        <f>K5</f>
        <v>39860</v>
      </c>
      <c r="N5" s="20">
        <f>D5*M5</f>
        <v>9897.2379999999994</v>
      </c>
      <c r="O5" s="20">
        <f>SUM(E5:N5)</f>
        <v>248785.23800000001</v>
      </c>
    </row>
    <row r="6" spans="1:16" x14ac:dyDescent="0.25">
      <c r="A6" s="17" t="s">
        <v>99</v>
      </c>
      <c r="B6" s="81">
        <v>199300</v>
      </c>
      <c r="C6" s="21">
        <v>2.5000000000000001E-2</v>
      </c>
      <c r="D6" s="21">
        <v>0.24829999999999999</v>
      </c>
      <c r="E6" s="19">
        <f>B6*C6</f>
        <v>4982.5</v>
      </c>
      <c r="F6" s="20">
        <f t="shared" ref="F6:F9" si="0">ROUND(E6*D6,0)</f>
        <v>1237</v>
      </c>
      <c r="G6" s="19">
        <f t="shared" ref="G6:G9" si="1">ROUND(B6*C6,0)</f>
        <v>4983</v>
      </c>
      <c r="H6" s="20">
        <f t="shared" ref="H6:H9" si="2">ROUND(G6*D6,0)</f>
        <v>1237</v>
      </c>
      <c r="I6" s="20">
        <f t="shared" ref="I6:I9" si="3">ROUND(B6*C6,0)</f>
        <v>4983</v>
      </c>
      <c r="J6" s="20">
        <f t="shared" ref="J6:J9" si="4">ROUND(I6*D6,0)</f>
        <v>1237</v>
      </c>
      <c r="K6" s="20">
        <f t="shared" ref="K6:K9" si="5">ROUND(B6*C6,0)</f>
        <v>4983</v>
      </c>
      <c r="L6" s="20">
        <f t="shared" ref="L6:L9" si="6">ROUND(K6*D6,0)</f>
        <v>1237</v>
      </c>
      <c r="M6" s="20">
        <f t="shared" ref="M6:M9" si="7">K6</f>
        <v>4983</v>
      </c>
      <c r="N6" s="20">
        <f t="shared" ref="N6:N9" si="8">D6*M6</f>
        <v>1237.2789</v>
      </c>
      <c r="O6" s="20">
        <f t="shared" ref="O6:O9" si="9">SUM(E6:N6)</f>
        <v>31099.778900000001</v>
      </c>
    </row>
    <row r="7" spans="1:16" x14ac:dyDescent="0.25">
      <c r="A7" s="17" t="s">
        <v>98</v>
      </c>
      <c r="B7" s="81">
        <v>55596</v>
      </c>
      <c r="C7" s="21">
        <v>0.5</v>
      </c>
      <c r="D7" s="21">
        <v>0.2671</v>
      </c>
      <c r="E7" s="19"/>
      <c r="F7" s="20">
        <f t="shared" si="0"/>
        <v>0</v>
      </c>
      <c r="G7" s="19">
        <f>ROUND(B7*C7,0)/2</f>
        <v>13899</v>
      </c>
      <c r="H7" s="20">
        <f>ROUND(G7*D7,0)</f>
        <v>3712</v>
      </c>
      <c r="I7" s="20">
        <f t="shared" si="3"/>
        <v>27798</v>
      </c>
      <c r="J7" s="20">
        <f>ROUND(I7*D7,0)</f>
        <v>7425</v>
      </c>
      <c r="K7" s="20">
        <f t="shared" si="5"/>
        <v>27798</v>
      </c>
      <c r="L7" s="20">
        <f t="shared" si="6"/>
        <v>7425</v>
      </c>
      <c r="M7" s="20">
        <f t="shared" si="7"/>
        <v>27798</v>
      </c>
      <c r="N7" s="20">
        <f t="shared" si="8"/>
        <v>7424.8458000000001</v>
      </c>
      <c r="O7" s="20">
        <f t="shared" si="9"/>
        <v>123279.8458</v>
      </c>
    </row>
    <row r="8" spans="1:16" x14ac:dyDescent="0.25">
      <c r="A8" s="17" t="s">
        <v>100</v>
      </c>
      <c r="B8" s="81">
        <v>57065</v>
      </c>
      <c r="C8" s="21">
        <v>0.5</v>
      </c>
      <c r="D8" s="21">
        <v>0.37630000000000002</v>
      </c>
      <c r="E8" s="19">
        <f t="shared" ref="E8" si="10">B8*C8</f>
        <v>28532.5</v>
      </c>
      <c r="F8" s="20">
        <f t="shared" si="0"/>
        <v>10737</v>
      </c>
      <c r="G8" s="19">
        <f t="shared" si="1"/>
        <v>28533</v>
      </c>
      <c r="H8" s="20">
        <f t="shared" si="2"/>
        <v>10737</v>
      </c>
      <c r="I8" s="20">
        <f t="shared" si="3"/>
        <v>28533</v>
      </c>
      <c r="J8" s="20">
        <f t="shared" si="4"/>
        <v>10737</v>
      </c>
      <c r="K8" s="20">
        <f t="shared" si="5"/>
        <v>28533</v>
      </c>
      <c r="L8" s="20">
        <f t="shared" si="6"/>
        <v>10737</v>
      </c>
      <c r="M8" s="20">
        <f t="shared" si="7"/>
        <v>28533</v>
      </c>
      <c r="N8" s="20">
        <f t="shared" si="8"/>
        <v>10736.967900000001</v>
      </c>
      <c r="O8" s="20">
        <f t="shared" si="9"/>
        <v>196349.46789999999</v>
      </c>
    </row>
    <row r="9" spans="1:16" x14ac:dyDescent="0.25">
      <c r="A9" s="17" t="s">
        <v>100</v>
      </c>
      <c r="B9" s="81">
        <v>36000</v>
      </c>
      <c r="C9" s="21">
        <v>0.15</v>
      </c>
      <c r="D9" s="21">
        <v>0.37630000000000002</v>
      </c>
      <c r="E9" s="19"/>
      <c r="F9" s="20">
        <f t="shared" si="0"/>
        <v>0</v>
      </c>
      <c r="G9" s="19">
        <f t="shared" si="1"/>
        <v>5400</v>
      </c>
      <c r="H9" s="20">
        <f t="shared" si="2"/>
        <v>2032</v>
      </c>
      <c r="I9" s="20">
        <f t="shared" si="3"/>
        <v>5400</v>
      </c>
      <c r="J9" s="20">
        <f t="shared" si="4"/>
        <v>2032</v>
      </c>
      <c r="K9" s="20">
        <f t="shared" si="5"/>
        <v>5400</v>
      </c>
      <c r="L9" s="20">
        <f t="shared" si="6"/>
        <v>2032</v>
      </c>
      <c r="M9" s="20">
        <f t="shared" si="7"/>
        <v>5400</v>
      </c>
      <c r="N9" s="20">
        <f t="shared" si="8"/>
        <v>2032.0200000000002</v>
      </c>
      <c r="O9" s="20">
        <f t="shared" si="9"/>
        <v>29728.02</v>
      </c>
    </row>
    <row r="10" spans="1:16" x14ac:dyDescent="0.25">
      <c r="D10" s="23" t="s">
        <v>12</v>
      </c>
      <c r="E10" s="24">
        <f>E5+F5+E6+F6+E7+F7+E8+F8+E9+F9+1</f>
        <v>95247</v>
      </c>
      <c r="F10" s="25"/>
      <c r="G10" s="24">
        <f>G5+H5+G6+H6+G7+H7+G8+H8+G9+H9+1</f>
        <v>120291</v>
      </c>
      <c r="H10" s="25"/>
      <c r="I10" s="24">
        <f>I5+J5+I6+J6+I7+J7+I8+J8+I9+J9+1</f>
        <v>137903</v>
      </c>
      <c r="J10" s="25"/>
      <c r="K10" s="24">
        <f>K5+L5+K6+L6+K7+L7+K8+L8+K9+L9+1</f>
        <v>137903</v>
      </c>
      <c r="L10" s="25"/>
      <c r="M10" s="24">
        <f>M5+N5+M6+N6+M7+N7+M8+N8+M9+N9+1</f>
        <v>137903.35059999998</v>
      </c>
      <c r="N10" s="25"/>
      <c r="O10" s="26">
        <f>SUM(E10:N10)</f>
        <v>629247.35060000001</v>
      </c>
      <c r="P10" s="37"/>
    </row>
    <row r="11" spans="1:16" x14ac:dyDescent="0.25">
      <c r="A11" s="1" t="s">
        <v>13</v>
      </c>
      <c r="B11" s="1"/>
      <c r="C11" s="3"/>
      <c r="D11" s="27"/>
      <c r="E11" s="28"/>
      <c r="F11" s="29"/>
      <c r="G11" s="29"/>
      <c r="H11" s="29"/>
      <c r="I11" s="29"/>
      <c r="J11" s="29"/>
      <c r="K11" s="30"/>
      <c r="L11" s="22"/>
      <c r="M11" s="30"/>
      <c r="N11" s="22"/>
      <c r="O11" s="22"/>
      <c r="P11" s="37"/>
    </row>
    <row r="12" spans="1:16" x14ac:dyDescent="0.25">
      <c r="A12" s="17" t="s">
        <v>64</v>
      </c>
      <c r="B12" s="17"/>
      <c r="C12" s="3"/>
      <c r="D12" s="27"/>
      <c r="E12" s="28">
        <v>15000</v>
      </c>
      <c r="F12" s="32"/>
      <c r="G12" s="28">
        <v>7500</v>
      </c>
      <c r="H12" s="32"/>
      <c r="I12" s="28">
        <v>7500</v>
      </c>
      <c r="J12" s="32"/>
      <c r="K12" s="28">
        <v>7500</v>
      </c>
      <c r="L12" s="22"/>
      <c r="M12" s="28">
        <v>7500</v>
      </c>
      <c r="N12" s="22"/>
      <c r="O12" s="22">
        <f>SUM(E12:N12)</f>
        <v>45000</v>
      </c>
      <c r="P12" s="37"/>
    </row>
    <row r="13" spans="1:16" x14ac:dyDescent="0.25">
      <c r="A13" s="17" t="s">
        <v>65</v>
      </c>
      <c r="B13" s="17" t="s">
        <v>66</v>
      </c>
      <c r="C13" s="3"/>
      <c r="D13" s="27"/>
      <c r="E13" s="28">
        <v>61250</v>
      </c>
      <c r="F13" s="32"/>
      <c r="G13" s="28">
        <f>25*1750</f>
        <v>43750</v>
      </c>
      <c r="H13" s="32"/>
      <c r="I13" s="28">
        <f>20*1750</f>
        <v>35000</v>
      </c>
      <c r="J13" s="32"/>
      <c r="K13" s="28">
        <f>20*1750</f>
        <v>35000</v>
      </c>
      <c r="L13" s="22"/>
      <c r="M13" s="28">
        <f>20*1750</f>
        <v>35000</v>
      </c>
      <c r="N13" s="22"/>
      <c r="O13" s="22">
        <f t="shared" ref="O13:O18" si="11">SUM(E13:N13)</f>
        <v>210000</v>
      </c>
      <c r="P13" s="37"/>
    </row>
    <row r="14" spans="1:16" x14ac:dyDescent="0.25">
      <c r="A14" s="17" t="s">
        <v>67</v>
      </c>
      <c r="B14" s="17" t="s">
        <v>68</v>
      </c>
      <c r="C14" s="3"/>
      <c r="D14" s="27"/>
      <c r="E14" s="28">
        <v>43750</v>
      </c>
      <c r="F14" s="32"/>
      <c r="G14" s="28">
        <f>25*1250</f>
        <v>31250</v>
      </c>
      <c r="H14" s="32"/>
      <c r="I14" s="28">
        <f>20*1250</f>
        <v>25000</v>
      </c>
      <c r="J14" s="32"/>
      <c r="K14" s="28">
        <f>20*1250</f>
        <v>25000</v>
      </c>
      <c r="L14" s="22"/>
      <c r="M14" s="28">
        <f>20*1250</f>
        <v>25000</v>
      </c>
      <c r="N14" s="22"/>
      <c r="O14" s="22">
        <f t="shared" si="11"/>
        <v>150000</v>
      </c>
      <c r="P14" s="37"/>
    </row>
    <row r="15" spans="1:16" x14ac:dyDescent="0.25">
      <c r="A15" s="17" t="s">
        <v>69</v>
      </c>
      <c r="C15" s="3"/>
      <c r="D15" s="27"/>
      <c r="E15" s="28">
        <v>2000</v>
      </c>
      <c r="F15" s="32"/>
      <c r="G15" s="28">
        <v>2000</v>
      </c>
      <c r="H15" s="32"/>
      <c r="I15" s="28">
        <v>2000</v>
      </c>
      <c r="J15" s="32"/>
      <c r="K15" s="28">
        <v>2000</v>
      </c>
      <c r="L15" s="22"/>
      <c r="M15" s="28">
        <v>2000</v>
      </c>
      <c r="N15" s="22"/>
      <c r="O15" s="22">
        <f t="shared" si="11"/>
        <v>10000</v>
      </c>
      <c r="P15" s="37"/>
    </row>
    <row r="16" spans="1:16" ht="26.4" x14ac:dyDescent="0.25">
      <c r="A16" s="17" t="s">
        <v>70</v>
      </c>
      <c r="B16" s="82" t="s">
        <v>71</v>
      </c>
      <c r="C16" s="3"/>
      <c r="D16" s="27"/>
      <c r="E16" s="28">
        <v>30000</v>
      </c>
      <c r="F16" s="32"/>
      <c r="G16" s="28">
        <v>20000</v>
      </c>
      <c r="H16" s="32"/>
      <c r="I16" s="28">
        <v>20000</v>
      </c>
      <c r="J16" s="32"/>
      <c r="K16" s="28">
        <v>20000</v>
      </c>
      <c r="L16" s="22"/>
      <c r="M16" s="28">
        <v>20000</v>
      </c>
      <c r="N16" s="22"/>
      <c r="O16" s="22">
        <f>SUM(E16:N16)</f>
        <v>110000</v>
      </c>
      <c r="P16" s="37"/>
    </row>
    <row r="17" spans="1:16" x14ac:dyDescent="0.25">
      <c r="A17" s="17" t="s">
        <v>72</v>
      </c>
      <c r="C17" s="3"/>
      <c r="D17" s="27"/>
      <c r="E17" s="28">
        <v>2000</v>
      </c>
      <c r="F17" s="32"/>
      <c r="G17" s="28">
        <v>2000</v>
      </c>
      <c r="H17" s="32"/>
      <c r="I17" s="28">
        <v>2000</v>
      </c>
      <c r="J17" s="32"/>
      <c r="K17" s="28">
        <v>2000</v>
      </c>
      <c r="L17" s="22"/>
      <c r="M17" s="28">
        <v>2000</v>
      </c>
      <c r="N17" s="22"/>
      <c r="O17" s="22">
        <f t="shared" si="11"/>
        <v>10000</v>
      </c>
      <c r="P17" s="37"/>
    </row>
    <row r="18" spans="1:16" x14ac:dyDescent="0.25">
      <c r="A18" s="17" t="s">
        <v>58</v>
      </c>
      <c r="C18" s="3"/>
      <c r="D18" s="27"/>
      <c r="E18" s="28">
        <v>2000</v>
      </c>
      <c r="F18" s="32"/>
      <c r="G18" s="28">
        <v>2000</v>
      </c>
      <c r="H18" s="32"/>
      <c r="I18" s="28">
        <v>2000</v>
      </c>
      <c r="J18" s="32"/>
      <c r="K18" s="28">
        <v>2000</v>
      </c>
      <c r="L18" s="22"/>
      <c r="M18" s="28">
        <v>2000</v>
      </c>
      <c r="N18" s="22"/>
      <c r="O18" s="22">
        <f t="shared" si="11"/>
        <v>10000</v>
      </c>
      <c r="P18" s="37"/>
    </row>
    <row r="19" spans="1:16" x14ac:dyDescent="0.25">
      <c r="A19" s="33"/>
      <c r="B19" s="33"/>
      <c r="C19" s="3"/>
      <c r="D19" s="34" t="s">
        <v>14</v>
      </c>
      <c r="E19" s="35">
        <f>SUM(E12:E18)</f>
        <v>156000</v>
      </c>
      <c r="F19" s="29"/>
      <c r="G19" s="35">
        <f>SUM(G12:G18)</f>
        <v>108500</v>
      </c>
      <c r="H19" s="29"/>
      <c r="I19" s="35">
        <f>SUM(I12:I18)</f>
        <v>93500</v>
      </c>
      <c r="J19" s="29"/>
      <c r="K19" s="35">
        <f>SUM(K12:K18)</f>
        <v>93500</v>
      </c>
      <c r="L19" s="30"/>
      <c r="M19" s="35">
        <f>SUM(M12:M18)</f>
        <v>93500</v>
      </c>
      <c r="N19" s="30"/>
      <c r="O19" s="36">
        <f>SUM(E19:N19)</f>
        <v>545000</v>
      </c>
      <c r="P19" s="37"/>
    </row>
    <row r="20" spans="1:16" x14ac:dyDescent="0.25">
      <c r="A20" s="33"/>
      <c r="B20" s="33"/>
      <c r="C20" s="3"/>
      <c r="D20" s="34"/>
      <c r="E20" s="66"/>
      <c r="F20" s="29"/>
      <c r="G20" s="66"/>
      <c r="H20" s="29"/>
      <c r="I20" s="66"/>
      <c r="J20" s="29"/>
      <c r="K20" s="66"/>
      <c r="L20" s="30"/>
      <c r="M20" s="66"/>
      <c r="N20" s="30"/>
      <c r="O20" s="30"/>
      <c r="P20" s="37"/>
    </row>
    <row r="21" spans="1:16" x14ac:dyDescent="0.25">
      <c r="A21" s="1" t="s">
        <v>19</v>
      </c>
      <c r="B21" s="1"/>
      <c r="C21" s="3"/>
      <c r="D21" s="34"/>
      <c r="E21" s="66"/>
      <c r="F21" s="29"/>
      <c r="G21" s="66"/>
      <c r="H21" s="29"/>
      <c r="I21" s="66"/>
      <c r="J21" s="29"/>
      <c r="K21" s="66"/>
      <c r="L21" s="30"/>
      <c r="M21" s="66"/>
      <c r="N21" s="30"/>
      <c r="O21" s="30">
        <f>SUM(E21:N21)</f>
        <v>0</v>
      </c>
      <c r="P21" s="37"/>
    </row>
    <row r="22" spans="1:16" x14ac:dyDescent="0.25">
      <c r="A22" s="1"/>
      <c r="B22" s="1"/>
      <c r="C22" s="3"/>
      <c r="D22" s="34"/>
      <c r="E22" s="66"/>
      <c r="F22" s="29"/>
      <c r="G22" s="66"/>
      <c r="H22" s="29"/>
      <c r="I22" s="66"/>
      <c r="J22" s="29"/>
      <c r="K22" s="66"/>
      <c r="L22" s="30"/>
      <c r="M22" s="66"/>
      <c r="N22" s="30"/>
      <c r="O22" s="30"/>
      <c r="P22" s="37"/>
    </row>
    <row r="23" spans="1:16" x14ac:dyDescent="0.25">
      <c r="A23" s="1" t="s">
        <v>73</v>
      </c>
      <c r="C23" s="3"/>
      <c r="D23" s="34"/>
      <c r="E23" s="66">
        <f>Subcontract!E26</f>
        <v>423705.48</v>
      </c>
      <c r="F23" s="29"/>
      <c r="G23" s="66">
        <f>Subcontract!G26</f>
        <v>418785.48</v>
      </c>
      <c r="H23" s="29"/>
      <c r="I23" s="66">
        <f>Subcontract!I26</f>
        <v>418785.48</v>
      </c>
      <c r="J23" s="29"/>
      <c r="K23" s="66">
        <f>Subcontract!K26</f>
        <v>418785.48</v>
      </c>
      <c r="L23" s="30"/>
      <c r="M23" s="66">
        <f>Subcontract!M26</f>
        <v>418783.43040000007</v>
      </c>
      <c r="N23" s="30"/>
      <c r="O23" s="66">
        <f>SUM(E23:N23)-2</f>
        <v>2098843.3503999999</v>
      </c>
      <c r="P23" s="37"/>
    </row>
    <row r="24" spans="1:16" x14ac:dyDescent="0.25">
      <c r="A24" s="17"/>
      <c r="B24" s="1"/>
      <c r="C24" s="3"/>
      <c r="D24" s="34"/>
      <c r="E24" s="28"/>
      <c r="F24" s="29"/>
      <c r="G24" s="28"/>
      <c r="H24" s="29"/>
      <c r="I24" s="28"/>
      <c r="J24" s="29"/>
      <c r="K24" s="28"/>
      <c r="L24" s="30"/>
      <c r="M24" s="28"/>
      <c r="N24" s="30"/>
      <c r="O24" s="22">
        <f>SUM(E24:N24)</f>
        <v>0</v>
      </c>
      <c r="P24" s="37"/>
    </row>
    <row r="25" spans="1:16" x14ac:dyDescent="0.25">
      <c r="A25" s="17"/>
      <c r="B25" s="1"/>
      <c r="C25" s="3"/>
      <c r="D25" s="34"/>
      <c r="E25" s="28"/>
      <c r="F25" s="29"/>
      <c r="G25" s="28"/>
      <c r="H25" s="29"/>
      <c r="I25" s="28"/>
      <c r="J25" s="29"/>
      <c r="K25" s="28"/>
      <c r="L25" s="30"/>
      <c r="M25" s="28"/>
      <c r="N25" s="30"/>
      <c r="O25" s="22">
        <f t="shared" ref="O25" si="12">SUM(E25:N25)</f>
        <v>0</v>
      </c>
      <c r="P25" s="37"/>
    </row>
    <row r="26" spans="1:16" x14ac:dyDescent="0.25">
      <c r="A26" s="33"/>
      <c r="B26" s="33"/>
      <c r="C26" s="3"/>
      <c r="D26" s="34" t="s">
        <v>74</v>
      </c>
      <c r="E26" s="35">
        <f>E23</f>
        <v>423705.48</v>
      </c>
      <c r="F26" s="29"/>
      <c r="G26" s="35">
        <f>G23</f>
        <v>418785.48</v>
      </c>
      <c r="H26" s="29"/>
      <c r="I26" s="35">
        <f>I23</f>
        <v>418785.48</v>
      </c>
      <c r="J26" s="29"/>
      <c r="K26" s="35">
        <f>K23</f>
        <v>418785.48</v>
      </c>
      <c r="L26" s="30"/>
      <c r="M26" s="35">
        <f>M23</f>
        <v>418783.43040000007</v>
      </c>
      <c r="N26" s="30"/>
      <c r="O26" s="36">
        <f>SUM(E26:N26)</f>
        <v>2098845.3503999999</v>
      </c>
      <c r="P26" s="37"/>
    </row>
    <row r="27" spans="1:16" x14ac:dyDescent="0.25">
      <c r="A27" s="1"/>
      <c r="B27" s="1"/>
      <c r="C27" s="3"/>
      <c r="D27" s="27"/>
      <c r="E27" s="28"/>
      <c r="F27" s="30"/>
      <c r="G27" s="30"/>
      <c r="H27" s="30"/>
      <c r="I27" s="30"/>
      <c r="J27" s="30"/>
      <c r="K27" s="30"/>
      <c r="L27" s="22"/>
      <c r="M27" s="30"/>
      <c r="N27" s="22"/>
      <c r="O27" s="30"/>
      <c r="P27" s="37"/>
    </row>
    <row r="28" spans="1:16" x14ac:dyDescent="0.25">
      <c r="A28" s="1"/>
      <c r="B28" s="1"/>
      <c r="C28" s="3"/>
      <c r="D28" s="38" t="s">
        <v>15</v>
      </c>
      <c r="E28" s="39">
        <f>E10+E19+E21+E26</f>
        <v>674952.48</v>
      </c>
      <c r="F28" s="40"/>
      <c r="G28" s="39">
        <f>G10+G19+G21+G26</f>
        <v>647576.48</v>
      </c>
      <c r="H28" s="40"/>
      <c r="I28" s="39">
        <f>I10+I19+I21+I26</f>
        <v>650188.48</v>
      </c>
      <c r="J28" s="40"/>
      <c r="K28" s="39">
        <f>K10+K19+K21+K26</f>
        <v>650188.48</v>
      </c>
      <c r="L28" s="40"/>
      <c r="M28" s="39">
        <f>M10+M19+M21+M26</f>
        <v>650186.78100000008</v>
      </c>
      <c r="N28" s="40"/>
      <c r="O28" s="39">
        <f>SUM(E28:M28)</f>
        <v>3273092.7009999999</v>
      </c>
      <c r="P28" s="37"/>
    </row>
    <row r="29" spans="1:16" x14ac:dyDescent="0.25">
      <c r="A29" s="1"/>
      <c r="B29" s="1"/>
      <c r="C29" s="3"/>
      <c r="D29" s="41" t="s">
        <v>45</v>
      </c>
      <c r="E29" s="63">
        <f>E28-E26+25000</f>
        <v>276247</v>
      </c>
      <c r="F29" s="40"/>
      <c r="G29" s="63">
        <f>G28-G26</f>
        <v>228791</v>
      </c>
      <c r="H29" s="40"/>
      <c r="I29" s="63">
        <f>I28-I26</f>
        <v>231403</v>
      </c>
      <c r="J29" s="40"/>
      <c r="K29" s="63">
        <f>K28-K26</f>
        <v>231403</v>
      </c>
      <c r="L29" s="40"/>
      <c r="M29" s="63">
        <f>M28-M26</f>
        <v>231403.35060000001</v>
      </c>
      <c r="N29" s="40"/>
      <c r="O29" s="63">
        <f>SUM(E29:M29)</f>
        <v>1199247.3506</v>
      </c>
    </row>
    <row r="30" spans="1:16" x14ac:dyDescent="0.25">
      <c r="A30" s="1"/>
      <c r="B30" s="1"/>
      <c r="C30" s="3"/>
      <c r="D30" s="42" t="s">
        <v>49</v>
      </c>
      <c r="E30" s="40">
        <f>E29*0.555</f>
        <v>153317.08500000002</v>
      </c>
      <c r="F30" s="40"/>
      <c r="G30" s="40">
        <f>G29*0.555</f>
        <v>126979.005</v>
      </c>
      <c r="H30" s="40"/>
      <c r="I30" s="40">
        <f>I29*0.555</f>
        <v>128428.66500000001</v>
      </c>
      <c r="J30" s="40"/>
      <c r="K30" s="40">
        <f>K29*0.555</f>
        <v>128428.66500000001</v>
      </c>
      <c r="L30" s="40"/>
      <c r="M30" s="40">
        <f>M29*0.555</f>
        <v>128428.85958300001</v>
      </c>
      <c r="N30" s="40"/>
      <c r="O30" s="69">
        <f>SUM(E30:M30)+1</f>
        <v>665583.27958300011</v>
      </c>
    </row>
    <row r="31" spans="1:16" x14ac:dyDescent="0.25">
      <c r="C31" s="3"/>
      <c r="D31" s="41" t="s">
        <v>16</v>
      </c>
      <c r="E31" s="43">
        <f>SUM(E28,E30)</f>
        <v>828269.56499999994</v>
      </c>
      <c r="F31" s="40"/>
      <c r="G31" s="43">
        <f>SUM(G28,G30)</f>
        <v>774555.48499999999</v>
      </c>
      <c r="H31" s="40"/>
      <c r="I31" s="43">
        <f>SUM(I28,I30)</f>
        <v>778617.14500000002</v>
      </c>
      <c r="J31" s="40"/>
      <c r="K31" s="43">
        <f>SUM(K28,K30)</f>
        <v>778617.14500000002</v>
      </c>
      <c r="L31" s="40"/>
      <c r="M31" s="43">
        <f>SUM(M28,M30)</f>
        <v>778615.64058300015</v>
      </c>
      <c r="N31" s="40"/>
      <c r="O31" s="43">
        <f>SUM(O28,O30)</f>
        <v>3938675.980583</v>
      </c>
    </row>
    <row r="32" spans="1:16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  <row r="43" spans="3:4" x14ac:dyDescent="0.25">
      <c r="C43" s="3"/>
      <c r="D43" s="3"/>
    </row>
    <row r="44" spans="3:4" x14ac:dyDescent="0.25">
      <c r="C44" s="3"/>
      <c r="D44" s="3"/>
    </row>
  </sheetData>
  <printOptions horizontalCentered="1" gridLines="1"/>
  <pageMargins left="0.25" right="0.25" top="0.75" bottom="0.75" header="0.3" footer="0.3"/>
  <pageSetup orientation="landscape" r:id="rId1"/>
  <ignoredErrors>
    <ignoredError sqref="G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9"/>
  <sheetViews>
    <sheetView topLeftCell="A13" zoomScale="125" zoomScaleNormal="125" workbookViewId="0">
      <selection activeCell="E27" sqref="E27"/>
    </sheetView>
  </sheetViews>
  <sheetFormatPr defaultColWidth="9.33203125" defaultRowHeight="13.2" x14ac:dyDescent="0.25"/>
  <cols>
    <col min="1" max="1" width="34.33203125" style="2" bestFit="1" customWidth="1"/>
    <col min="2" max="2" width="12.5546875" style="2" customWidth="1"/>
    <col min="3" max="3" width="8.6640625" style="2" customWidth="1"/>
    <col min="4" max="4" width="10.33203125" style="2" customWidth="1"/>
    <col min="5" max="5" width="11.33203125" style="3" customWidth="1"/>
    <col min="6" max="6" width="8.6640625" style="3" customWidth="1"/>
    <col min="7" max="7" width="12.44140625" style="3" customWidth="1"/>
    <col min="8" max="8" width="8.6640625" style="3" customWidth="1"/>
    <col min="9" max="9" width="12.44140625" style="3" bestFit="1" customWidth="1"/>
    <col min="10" max="10" width="8.6640625" style="3" customWidth="1"/>
    <col min="11" max="11" width="12.44140625" style="3" bestFit="1" customWidth="1"/>
    <col min="12" max="12" width="8.6640625" style="3" customWidth="1"/>
    <col min="13" max="13" width="12.44140625" style="3" bestFit="1" customWidth="1"/>
    <col min="14" max="14" width="11.44140625" style="3" bestFit="1" customWidth="1"/>
    <col min="15" max="15" width="14.33203125" style="3" bestFit="1" customWidth="1"/>
    <col min="16" max="16" width="9.33203125" style="3" bestFit="1" customWidth="1"/>
    <col min="17" max="16384" width="9.33203125" style="2"/>
  </cols>
  <sheetData>
    <row r="1" spans="1:16" x14ac:dyDescent="0.25">
      <c r="A1" s="1" t="s">
        <v>88</v>
      </c>
      <c r="B1" s="1"/>
    </row>
    <row r="2" spans="1:16" s="4" customFormat="1" x14ac:dyDescent="0.2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4" customFormat="1" x14ac:dyDescent="0.25">
      <c r="C3" s="6"/>
      <c r="D3" s="7"/>
      <c r="E3" s="8" t="s">
        <v>0</v>
      </c>
      <c r="F3" s="9"/>
      <c r="G3" s="8" t="s">
        <v>1</v>
      </c>
      <c r="H3" s="9"/>
      <c r="I3" s="8" t="s">
        <v>2</v>
      </c>
      <c r="J3" s="9"/>
      <c r="K3" s="8" t="s">
        <v>3</v>
      </c>
      <c r="L3" s="9"/>
      <c r="M3" s="8" t="s">
        <v>42</v>
      </c>
      <c r="N3" s="9"/>
      <c r="O3" s="60"/>
      <c r="P3" s="68"/>
    </row>
    <row r="4" spans="1:16" s="4" customFormat="1" x14ac:dyDescent="0.25">
      <c r="A4" s="11" t="s">
        <v>4</v>
      </c>
      <c r="B4" s="11" t="s">
        <v>40</v>
      </c>
      <c r="C4" s="12" t="s">
        <v>5</v>
      </c>
      <c r="D4" s="13" t="s">
        <v>6</v>
      </c>
      <c r="E4" s="14" t="s">
        <v>41</v>
      </c>
      <c r="F4" s="15"/>
      <c r="G4" s="14" t="s">
        <v>41</v>
      </c>
      <c r="H4" s="15"/>
      <c r="I4" s="14" t="s">
        <v>41</v>
      </c>
      <c r="J4" s="15"/>
      <c r="K4" s="14" t="s">
        <v>41</v>
      </c>
      <c r="L4" s="15"/>
      <c r="M4" s="14" t="s">
        <v>41</v>
      </c>
      <c r="N4" s="15"/>
      <c r="O4" s="61" t="s">
        <v>11</v>
      </c>
      <c r="P4" s="68"/>
    </row>
    <row r="5" spans="1:16" x14ac:dyDescent="0.25">
      <c r="A5" s="17" t="s">
        <v>105</v>
      </c>
      <c r="B5" s="81">
        <v>199300</v>
      </c>
      <c r="C5" s="18">
        <v>0.2</v>
      </c>
      <c r="D5" s="18">
        <v>0.216</v>
      </c>
      <c r="E5" s="19">
        <f>ROUND(B5*C5,0)</f>
        <v>39860</v>
      </c>
      <c r="F5" s="20">
        <f>ROUND(E5*D5,0)</f>
        <v>8610</v>
      </c>
      <c r="G5" s="19">
        <f>ROUND(B5*C5,0)</f>
        <v>39860</v>
      </c>
      <c r="H5" s="20">
        <f>ROUND(G5*D5,0)</f>
        <v>8610</v>
      </c>
      <c r="I5" s="20">
        <f>ROUND(B5*C5,0)</f>
        <v>39860</v>
      </c>
      <c r="J5" s="20">
        <f>ROUND(I5*D5,0)</f>
        <v>8610</v>
      </c>
      <c r="K5" s="20">
        <f>ROUND(B5*C5,0)</f>
        <v>39860</v>
      </c>
      <c r="L5" s="20">
        <f>ROUND(K5*D5,0)</f>
        <v>8610</v>
      </c>
      <c r="M5" s="20">
        <f>K5</f>
        <v>39860</v>
      </c>
      <c r="N5" s="20">
        <f>D5*M5</f>
        <v>8609.76</v>
      </c>
      <c r="O5" s="20">
        <f>SUM(E5:N5)</f>
        <v>242349.76</v>
      </c>
    </row>
    <row r="6" spans="1:16" x14ac:dyDescent="0.25">
      <c r="A6" s="17" t="s">
        <v>99</v>
      </c>
      <c r="B6" s="81">
        <v>80000</v>
      </c>
      <c r="C6" s="21">
        <v>0.3</v>
      </c>
      <c r="D6" s="21">
        <v>0.216</v>
      </c>
      <c r="E6" s="19">
        <f>B6*C6</f>
        <v>24000</v>
      </c>
      <c r="F6" s="20">
        <f>ROUND(E6*D6,0)</f>
        <v>5184</v>
      </c>
      <c r="G6" s="19">
        <f>E6</f>
        <v>24000</v>
      </c>
      <c r="H6" s="20">
        <f>ROUND(G6*D6,0)</f>
        <v>5184</v>
      </c>
      <c r="I6" s="20">
        <f>G6</f>
        <v>24000</v>
      </c>
      <c r="J6" s="20">
        <f>ROUND(I6*D6,0)</f>
        <v>5184</v>
      </c>
      <c r="K6" s="20">
        <f>I6</f>
        <v>24000</v>
      </c>
      <c r="L6" s="20">
        <f>ROUND(K6*D6,0)</f>
        <v>5184</v>
      </c>
      <c r="M6" s="20">
        <f t="shared" ref="M6:M7" si="0">K6</f>
        <v>24000</v>
      </c>
      <c r="N6" s="20">
        <f t="shared" ref="N6:N7" si="1">D6*M6</f>
        <v>5184</v>
      </c>
      <c r="O6" s="20">
        <f t="shared" ref="O6:O7" si="2">SUM(E6:N6)</f>
        <v>145920</v>
      </c>
    </row>
    <row r="7" spans="1:16" x14ac:dyDescent="0.25">
      <c r="A7" s="17" t="s">
        <v>99</v>
      </c>
      <c r="B7" s="81">
        <v>90000</v>
      </c>
      <c r="C7" s="21">
        <v>0.2</v>
      </c>
      <c r="D7" s="21">
        <v>0.216</v>
      </c>
      <c r="E7" s="19">
        <f>B7*C7</f>
        <v>18000</v>
      </c>
      <c r="F7" s="20">
        <f>ROUND(E7*D7,0)</f>
        <v>3888</v>
      </c>
      <c r="G7" s="19">
        <f>E7</f>
        <v>18000</v>
      </c>
      <c r="H7" s="20">
        <f>ROUND(G7*D7,0)</f>
        <v>3888</v>
      </c>
      <c r="I7" s="20">
        <f>G7</f>
        <v>18000</v>
      </c>
      <c r="J7" s="20">
        <f>ROUND(I7*D7,0)</f>
        <v>3888</v>
      </c>
      <c r="K7" s="20">
        <f>I7</f>
        <v>18000</v>
      </c>
      <c r="L7" s="20">
        <f>ROUND(K7*D7,0)</f>
        <v>3888</v>
      </c>
      <c r="M7" s="20">
        <f t="shared" si="0"/>
        <v>18000</v>
      </c>
      <c r="N7" s="20">
        <f t="shared" si="1"/>
        <v>3888</v>
      </c>
      <c r="O7" s="20">
        <f t="shared" si="2"/>
        <v>109440</v>
      </c>
    </row>
    <row r="8" spans="1:16" x14ac:dyDescent="0.25">
      <c r="A8" s="17" t="s">
        <v>100</v>
      </c>
      <c r="B8" s="81">
        <v>40500</v>
      </c>
      <c r="C8" s="21">
        <v>0.2</v>
      </c>
      <c r="D8" s="21">
        <v>0.216</v>
      </c>
      <c r="E8" s="19">
        <f>B8*C8</f>
        <v>8100</v>
      </c>
      <c r="F8" s="20">
        <f>ROUND(E8*D8,0)</f>
        <v>1750</v>
      </c>
      <c r="G8" s="19">
        <f>E8</f>
        <v>8100</v>
      </c>
      <c r="H8" s="20">
        <f>ROUND(G8*D8,0)</f>
        <v>1750</v>
      </c>
      <c r="I8" s="20">
        <f>G8</f>
        <v>8100</v>
      </c>
      <c r="J8" s="20">
        <f>ROUND(I8*D8,0)</f>
        <v>1750</v>
      </c>
      <c r="K8" s="20">
        <f>I8</f>
        <v>8100</v>
      </c>
      <c r="L8" s="20">
        <f>ROUND(K8*D8,0)</f>
        <v>1750</v>
      </c>
      <c r="M8" s="20">
        <f t="shared" ref="M8" si="3">K8</f>
        <v>8100</v>
      </c>
      <c r="N8" s="20">
        <f t="shared" ref="N8" si="4">D8*M8</f>
        <v>1749.6</v>
      </c>
      <c r="O8" s="20">
        <f t="shared" ref="O8" si="5">SUM(E8:N8)</f>
        <v>49249.599999999999</v>
      </c>
    </row>
    <row r="9" spans="1:16" x14ac:dyDescent="0.25">
      <c r="D9" s="23" t="s">
        <v>12</v>
      </c>
      <c r="E9" s="24">
        <f>E5+F5+E6+F6+E7+F7+E8+F8</f>
        <v>109392</v>
      </c>
      <c r="F9" s="25"/>
      <c r="G9" s="24">
        <f>G5+H5+G6+H6+G7+H7+G8+H8</f>
        <v>109392</v>
      </c>
      <c r="H9" s="25"/>
      <c r="I9" s="24">
        <f>I5+J5+I6+J6+I7+J7+I8+J8</f>
        <v>109392</v>
      </c>
      <c r="J9" s="25"/>
      <c r="K9" s="24">
        <f>K5+L5+K6+L6+K7+L7+K8+L8</f>
        <v>109392</v>
      </c>
      <c r="L9" s="25"/>
      <c r="M9" s="24">
        <f>M5+N5+M6+N6+M7+N7+M8+N8</f>
        <v>109391.36000000002</v>
      </c>
      <c r="N9" s="25"/>
      <c r="O9" s="26">
        <f>SUM(E9:N9)</f>
        <v>546959.35999999999</v>
      </c>
      <c r="P9" s="37"/>
    </row>
    <row r="10" spans="1:16" x14ac:dyDescent="0.25">
      <c r="A10" s="1" t="s">
        <v>13</v>
      </c>
      <c r="B10" s="1"/>
      <c r="C10" s="3"/>
      <c r="D10" s="27"/>
      <c r="E10" s="28"/>
      <c r="F10" s="29"/>
      <c r="G10" s="29"/>
      <c r="H10" s="29"/>
      <c r="I10" s="29"/>
      <c r="J10" s="29"/>
      <c r="K10" s="30"/>
      <c r="L10" s="22"/>
      <c r="M10" s="30"/>
      <c r="N10" s="22"/>
      <c r="O10" s="22"/>
      <c r="P10" s="37"/>
    </row>
    <row r="11" spans="1:16" x14ac:dyDescent="0.25">
      <c r="A11" s="17" t="s">
        <v>35</v>
      </c>
      <c r="B11" s="17"/>
      <c r="C11" s="3"/>
      <c r="D11" s="27"/>
      <c r="E11" s="28">
        <v>42965</v>
      </c>
      <c r="F11" s="32"/>
      <c r="G11" s="28">
        <v>39965</v>
      </c>
      <c r="H11" s="32"/>
      <c r="I11" s="28">
        <v>39965</v>
      </c>
      <c r="J11" s="32"/>
      <c r="K11" s="28">
        <v>39965</v>
      </c>
      <c r="L11" s="22"/>
      <c r="M11" s="28">
        <v>39965</v>
      </c>
      <c r="N11" s="22"/>
      <c r="O11" s="22">
        <f>SUM(E11:N11)</f>
        <v>202825</v>
      </c>
      <c r="P11" s="37"/>
    </row>
    <row r="12" spans="1:16" x14ac:dyDescent="0.25">
      <c r="A12" s="17" t="s">
        <v>43</v>
      </c>
      <c r="B12" s="17"/>
      <c r="C12" s="3"/>
      <c r="D12" s="31"/>
      <c r="E12" s="32">
        <v>20000</v>
      </c>
      <c r="F12" s="32"/>
      <c r="G12" s="32">
        <v>20000</v>
      </c>
      <c r="H12" s="32"/>
      <c r="I12" s="32">
        <v>20000</v>
      </c>
      <c r="J12" s="32"/>
      <c r="K12" s="32">
        <v>20000</v>
      </c>
      <c r="L12" s="22"/>
      <c r="M12" s="32">
        <v>20000</v>
      </c>
      <c r="N12" s="22"/>
      <c r="O12" s="22">
        <f>SUM(E12:N12)</f>
        <v>100000</v>
      </c>
      <c r="P12" s="37"/>
    </row>
    <row r="13" spans="1:16" x14ac:dyDescent="0.25">
      <c r="A13" s="17" t="s">
        <v>55</v>
      </c>
      <c r="B13" s="17"/>
      <c r="C13" s="3"/>
      <c r="D13" s="31"/>
      <c r="E13" s="32">
        <v>60000</v>
      </c>
      <c r="F13" s="32"/>
      <c r="G13" s="32">
        <v>60000</v>
      </c>
      <c r="H13" s="32"/>
      <c r="I13" s="32">
        <v>60000</v>
      </c>
      <c r="J13" s="32"/>
      <c r="K13" s="32">
        <v>60000</v>
      </c>
      <c r="L13" s="22"/>
      <c r="M13" s="32">
        <v>60000</v>
      </c>
      <c r="N13" s="22"/>
      <c r="O13" s="22">
        <f>SUM(E13:N13)</f>
        <v>300000</v>
      </c>
      <c r="P13" s="37"/>
    </row>
    <row r="14" spans="1:16" x14ac:dyDescent="0.25">
      <c r="A14" s="33"/>
      <c r="B14" s="33"/>
      <c r="C14" s="3"/>
      <c r="D14" s="34" t="s">
        <v>14</v>
      </c>
      <c r="E14" s="35">
        <f>SUM(E11:E13)</f>
        <v>122965</v>
      </c>
      <c r="F14" s="29"/>
      <c r="G14" s="35">
        <f>SUM(G11:G13)</f>
        <v>119965</v>
      </c>
      <c r="H14" s="29"/>
      <c r="I14" s="35">
        <f>SUM(I11:I13)</f>
        <v>119965</v>
      </c>
      <c r="J14" s="29"/>
      <c r="K14" s="35">
        <f>SUM(K11:K13)</f>
        <v>119965</v>
      </c>
      <c r="L14" s="30"/>
      <c r="M14" s="35">
        <f>SUM(M11:M13)</f>
        <v>119965</v>
      </c>
      <c r="N14" s="30"/>
      <c r="O14" s="36">
        <f>SUM(E14:N14)</f>
        <v>602825</v>
      </c>
      <c r="P14" s="37"/>
    </row>
    <row r="15" spans="1:16" x14ac:dyDescent="0.25">
      <c r="A15" s="1" t="s">
        <v>19</v>
      </c>
      <c r="B15" s="1"/>
      <c r="C15" s="3"/>
      <c r="D15" s="34"/>
      <c r="E15" s="66">
        <v>6000</v>
      </c>
      <c r="F15" s="29"/>
      <c r="G15" s="66">
        <v>6000</v>
      </c>
      <c r="H15" s="29"/>
      <c r="I15" s="66">
        <v>6000</v>
      </c>
      <c r="J15" s="29"/>
      <c r="K15" s="66">
        <v>6000</v>
      </c>
      <c r="L15" s="30"/>
      <c r="M15" s="66">
        <v>6000</v>
      </c>
      <c r="N15" s="30"/>
      <c r="O15" s="30">
        <f>SUM(E15:L15)</f>
        <v>24000</v>
      </c>
      <c r="P15" s="37"/>
    </row>
    <row r="16" spans="1:16" x14ac:dyDescent="0.25">
      <c r="A16" s="1"/>
      <c r="B16" s="1"/>
      <c r="C16" s="3"/>
      <c r="D16" s="34"/>
      <c r="E16" s="66"/>
      <c r="F16" s="29"/>
      <c r="G16" s="66"/>
      <c r="H16" s="29"/>
      <c r="I16" s="66"/>
      <c r="J16" s="29"/>
      <c r="K16" s="66"/>
      <c r="L16" s="30"/>
      <c r="M16" s="66"/>
      <c r="N16" s="30"/>
      <c r="O16" s="30"/>
      <c r="P16" s="37"/>
    </row>
    <row r="17" spans="1:16" x14ac:dyDescent="0.25">
      <c r="A17" s="1" t="s">
        <v>56</v>
      </c>
      <c r="B17" s="1"/>
      <c r="C17" s="3"/>
      <c r="D17" s="34"/>
      <c r="E17" s="66"/>
      <c r="F17" s="29"/>
      <c r="G17" s="66"/>
      <c r="H17" s="29"/>
      <c r="I17" s="66"/>
      <c r="J17" s="29"/>
      <c r="K17" s="66"/>
      <c r="L17" s="30"/>
      <c r="M17" s="66"/>
      <c r="N17" s="30"/>
      <c r="O17" s="30"/>
      <c r="P17" s="37"/>
    </row>
    <row r="18" spans="1:16" x14ac:dyDescent="0.25">
      <c r="A18" s="17" t="s">
        <v>58</v>
      </c>
      <c r="B18" s="1"/>
      <c r="C18" s="3"/>
      <c r="D18" s="34"/>
      <c r="E18" s="28">
        <v>5000</v>
      </c>
      <c r="F18" s="29"/>
      <c r="G18" s="28">
        <v>5000</v>
      </c>
      <c r="H18" s="29"/>
      <c r="I18" s="28">
        <v>5000</v>
      </c>
      <c r="J18" s="29"/>
      <c r="K18" s="28">
        <v>5000</v>
      </c>
      <c r="L18" s="30"/>
      <c r="M18" s="28">
        <v>5000</v>
      </c>
      <c r="N18" s="30"/>
      <c r="O18" s="22">
        <f t="shared" ref="O18:O20" si="6">SUM(E18:N18)</f>
        <v>25000</v>
      </c>
      <c r="P18" s="37"/>
    </row>
    <row r="19" spans="1:16" x14ac:dyDescent="0.25">
      <c r="A19" s="17" t="s">
        <v>59</v>
      </c>
      <c r="B19" s="1"/>
      <c r="C19" s="3"/>
      <c r="D19" s="34"/>
      <c r="E19" s="28">
        <v>12000</v>
      </c>
      <c r="F19" s="29"/>
      <c r="G19" s="28">
        <v>12000</v>
      </c>
      <c r="H19" s="29"/>
      <c r="I19" s="28">
        <v>12000</v>
      </c>
      <c r="J19" s="29"/>
      <c r="K19" s="28">
        <v>12000</v>
      </c>
      <c r="L19" s="30"/>
      <c r="M19" s="28">
        <v>12000</v>
      </c>
      <c r="N19" s="30"/>
      <c r="O19" s="22">
        <f t="shared" si="6"/>
        <v>60000</v>
      </c>
      <c r="P19" s="37"/>
    </row>
    <row r="20" spans="1:16" x14ac:dyDescent="0.25">
      <c r="A20" s="17" t="s">
        <v>60</v>
      </c>
      <c r="B20" s="1"/>
      <c r="C20" s="3"/>
      <c r="D20" s="34"/>
      <c r="E20" s="28">
        <v>3000</v>
      </c>
      <c r="F20" s="29"/>
      <c r="G20" s="28">
        <v>3000</v>
      </c>
      <c r="H20" s="29"/>
      <c r="I20" s="28">
        <v>3000</v>
      </c>
      <c r="J20" s="29"/>
      <c r="K20" s="28">
        <v>3000</v>
      </c>
      <c r="L20" s="30"/>
      <c r="M20" s="28">
        <v>3000</v>
      </c>
      <c r="N20" s="30"/>
      <c r="O20" s="22">
        <f t="shared" si="6"/>
        <v>15000</v>
      </c>
      <c r="P20" s="37"/>
    </row>
    <row r="21" spans="1:16" x14ac:dyDescent="0.25">
      <c r="A21" s="33"/>
      <c r="B21" s="33"/>
      <c r="C21" s="3"/>
      <c r="D21" s="34" t="s">
        <v>62</v>
      </c>
      <c r="E21" s="35">
        <f>SUM(E18:E20)</f>
        <v>20000</v>
      </c>
      <c r="F21" s="29"/>
      <c r="G21" s="35">
        <f>SUM(G18:G20)</f>
        <v>20000</v>
      </c>
      <c r="H21" s="29"/>
      <c r="I21" s="35">
        <f>SUM(I18:I20)</f>
        <v>20000</v>
      </c>
      <c r="J21" s="29"/>
      <c r="K21" s="35">
        <f>SUM(K18:K20)</f>
        <v>20000</v>
      </c>
      <c r="L21" s="30"/>
      <c r="M21" s="35">
        <f>SUM(M18:M20)</f>
        <v>20000</v>
      </c>
      <c r="N21" s="30"/>
      <c r="O21" s="36">
        <f>SUM(E21:N21)</f>
        <v>100000</v>
      </c>
      <c r="P21" s="37"/>
    </row>
    <row r="22" spans="1:16" x14ac:dyDescent="0.25">
      <c r="A22" s="17"/>
      <c r="B22" s="1"/>
      <c r="C22" s="3"/>
      <c r="D22" s="27"/>
      <c r="E22" s="28"/>
      <c r="F22" s="30"/>
      <c r="G22" s="30"/>
      <c r="H22" s="30"/>
      <c r="I22" s="30"/>
      <c r="J22" s="30"/>
      <c r="K22" s="30"/>
      <c r="L22" s="22"/>
      <c r="M22" s="30"/>
      <c r="N22" s="22"/>
      <c r="O22" s="30"/>
      <c r="P22" s="37"/>
    </row>
    <row r="23" spans="1:16" x14ac:dyDescent="0.25">
      <c r="A23" s="1"/>
      <c r="B23" s="1"/>
      <c r="C23" s="3"/>
      <c r="D23" s="38" t="s">
        <v>15</v>
      </c>
      <c r="E23" s="39">
        <f>E9+E14+E15+E21</f>
        <v>258357</v>
      </c>
      <c r="F23" s="40"/>
      <c r="G23" s="39">
        <f>G9+G14+G15+G21</f>
        <v>255357</v>
      </c>
      <c r="H23" s="40"/>
      <c r="I23" s="39">
        <f>I9+I14+I15+I21</f>
        <v>255357</v>
      </c>
      <c r="J23" s="40"/>
      <c r="K23" s="39">
        <f>K9+K14+K15+K21</f>
        <v>255357</v>
      </c>
      <c r="L23" s="40"/>
      <c r="M23" s="39">
        <f>M9+M14+M15+M21</f>
        <v>255356.36000000002</v>
      </c>
      <c r="N23" s="40"/>
      <c r="O23" s="39">
        <f>SUM(E23:M23)</f>
        <v>1279784.3600000001</v>
      </c>
      <c r="P23" s="37"/>
    </row>
    <row r="24" spans="1:16" x14ac:dyDescent="0.25">
      <c r="A24" s="1"/>
      <c r="B24" s="1"/>
      <c r="C24" s="3"/>
      <c r="D24" s="41" t="s">
        <v>45</v>
      </c>
      <c r="E24" s="63">
        <f>E23</f>
        <v>258357</v>
      </c>
      <c r="F24" s="40"/>
      <c r="G24" s="63">
        <f>G23</f>
        <v>255357</v>
      </c>
      <c r="H24" s="40"/>
      <c r="I24" s="63">
        <f>I23</f>
        <v>255357</v>
      </c>
      <c r="J24" s="40"/>
      <c r="K24" s="63">
        <f>K23</f>
        <v>255357</v>
      </c>
      <c r="L24" s="40"/>
      <c r="M24" s="63">
        <f>M23</f>
        <v>255356.36000000002</v>
      </c>
      <c r="N24" s="40"/>
      <c r="O24" s="63">
        <f>SUM(E24:M24)</f>
        <v>1279784.3600000001</v>
      </c>
    </row>
    <row r="25" spans="1:16" x14ac:dyDescent="0.25">
      <c r="A25" s="1"/>
      <c r="B25" s="1"/>
      <c r="C25" s="3"/>
      <c r="D25" s="42" t="s">
        <v>46</v>
      </c>
      <c r="E25" s="40">
        <f>E24*0.64</f>
        <v>165348.48000000001</v>
      </c>
      <c r="F25" s="40"/>
      <c r="G25" s="40">
        <f>G24*0.64</f>
        <v>163428.48000000001</v>
      </c>
      <c r="H25" s="40"/>
      <c r="I25" s="40">
        <f>I24*0.64</f>
        <v>163428.48000000001</v>
      </c>
      <c r="J25" s="40"/>
      <c r="K25" s="40">
        <f>K24*0.64</f>
        <v>163428.48000000001</v>
      </c>
      <c r="L25" s="40"/>
      <c r="M25" s="40">
        <f>M24*0.64-1</f>
        <v>163427.07040000003</v>
      </c>
      <c r="N25" s="40"/>
      <c r="O25" s="69">
        <f>SUM(E25:M25)</f>
        <v>819060.99040000001</v>
      </c>
    </row>
    <row r="26" spans="1:16" x14ac:dyDescent="0.25">
      <c r="C26" s="3"/>
      <c r="D26" s="41" t="s">
        <v>16</v>
      </c>
      <c r="E26" s="43">
        <f>SUM(E23,E25)</f>
        <v>423705.48</v>
      </c>
      <c r="F26" s="40"/>
      <c r="G26" s="43">
        <f>SUM(G23,G25)</f>
        <v>418785.48</v>
      </c>
      <c r="H26" s="40"/>
      <c r="I26" s="43">
        <f>SUM(I23,I25)</f>
        <v>418785.48</v>
      </c>
      <c r="J26" s="40"/>
      <c r="K26" s="43">
        <f>SUM(K23,K25)</f>
        <v>418785.48</v>
      </c>
      <c r="L26" s="40"/>
      <c r="M26" s="43">
        <f>SUM(M23,M25)</f>
        <v>418783.43040000007</v>
      </c>
      <c r="N26" s="40"/>
      <c r="O26" s="43">
        <f>SUM(O23,O25)</f>
        <v>2098845.3503999999</v>
      </c>
    </row>
    <row r="27" spans="1:16" x14ac:dyDescent="0.25">
      <c r="C27" s="3"/>
      <c r="D27" s="3"/>
    </row>
    <row r="28" spans="1:16" x14ac:dyDescent="0.25">
      <c r="C28" s="3"/>
      <c r="D28" s="3"/>
    </row>
    <row r="29" spans="1:16" x14ac:dyDescent="0.25">
      <c r="C29" s="3"/>
      <c r="D29" s="3"/>
    </row>
    <row r="30" spans="1:16" x14ac:dyDescent="0.25">
      <c r="C30" s="3"/>
      <c r="D30" s="3"/>
    </row>
    <row r="31" spans="1:16" x14ac:dyDescent="0.25">
      <c r="C31" s="3"/>
      <c r="D31" s="3"/>
    </row>
    <row r="32" spans="1:16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</sheetData>
  <printOptions horizontalCentered="1" gridLines="1"/>
  <pageMargins left="0.25" right="0.25" top="0.75" bottom="0.75" header="0.3" footer="0.3"/>
  <pageSetup orientation="landscape" r:id="rId1"/>
  <ignoredErrors>
    <ignoredError sqref="H6:H7 H8 L6:L7 L8" formula="1"/>
    <ignoredError sqref="O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Summary</vt:lpstr>
      <vt:lpstr>Consolidated</vt:lpstr>
      <vt:lpstr>Project 1</vt:lpstr>
      <vt:lpstr>Project 2</vt:lpstr>
      <vt:lpstr>Project 3</vt:lpstr>
      <vt:lpstr>Core A</vt:lpstr>
      <vt:lpstr>Core B</vt:lpstr>
      <vt:lpstr>Subcontract</vt:lpstr>
      <vt:lpstr>Consolidated!Print_Area</vt:lpstr>
      <vt:lpstr>'Core A'!Print_Area</vt:lpstr>
      <vt:lpstr>'Core B'!Print_Area</vt:lpstr>
      <vt:lpstr>'Project 1'!Print_Area</vt:lpstr>
      <vt:lpstr>'Project 2'!Print_Area</vt:lpstr>
      <vt:lpstr>'Project 3'!Print_Area</vt:lpstr>
      <vt:lpstr>Subcontract!Print_Area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Hartmann, Sheryl</dc:creator>
  <cp:lastModifiedBy>Bethany Ginzburg</cp:lastModifiedBy>
  <cp:lastPrinted>2017-11-02T15:30:04Z</cp:lastPrinted>
  <dcterms:created xsi:type="dcterms:W3CDTF">2016-10-04T19:37:28Z</dcterms:created>
  <dcterms:modified xsi:type="dcterms:W3CDTF">2021-07-22T20:14:33Z</dcterms:modified>
</cp:coreProperties>
</file>